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kewinder/Downloads/"/>
    </mc:Choice>
  </mc:AlternateContent>
  <xr:revisionPtr revIDLastSave="0" documentId="8_{88420802-0F25-184F-B994-FEF5C4DC9DAD}" xr6:coauthVersionLast="47" xr6:coauthVersionMax="47" xr10:uidLastSave="{00000000-0000-0000-0000-000000000000}"/>
  <bookViews>
    <workbookView xWindow="0" yWindow="500" windowWidth="28800" windowHeight="15840" activeTab="1" xr2:uid="{09A506B5-E076-47B3-90E1-2FABAF4308DC}"/>
  </bookViews>
  <sheets>
    <sheet name="Budget with Market Station" sheetId="6" state="hidden" r:id="rId1"/>
    <sheet name="Budget with Comps" sheetId="2" r:id="rId2"/>
    <sheet name="Comps" sheetId="3" r:id="rId3"/>
    <sheet name="Discussed Impediment" sheetId="10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79" i="2" l="1"/>
  <c r="M78" i="2"/>
  <c r="L78" i="2"/>
  <c r="K78" i="2"/>
  <c r="J78" i="2"/>
  <c r="I78" i="2"/>
  <c r="H78" i="2"/>
  <c r="G78" i="2"/>
  <c r="F78" i="2"/>
  <c r="E78" i="2"/>
  <c r="D78" i="2"/>
  <c r="P78" i="2"/>
  <c r="O78" i="2"/>
  <c r="N78" i="2"/>
  <c r="Q78" i="2"/>
  <c r="R78" i="2"/>
  <c r="S78" i="2"/>
  <c r="I44" i="2" l="1"/>
  <c r="G44" i="2"/>
  <c r="H44" i="2"/>
  <c r="W25" i="2"/>
  <c r="X25" i="2" s="1"/>
  <c r="E25" i="2"/>
  <c r="C25" i="2"/>
  <c r="D69" i="2"/>
  <c r="D71" i="2"/>
  <c r="N35" i="2"/>
  <c r="O35" i="2" s="1"/>
  <c r="P35" i="2" s="1"/>
  <c r="Q35" i="2" s="1"/>
  <c r="R35" i="2" s="1"/>
  <c r="S35" i="2" s="1"/>
  <c r="T35" i="2" s="1"/>
  <c r="U35" i="2" s="1"/>
  <c r="V35" i="2" s="1"/>
  <c r="W35" i="2" s="1"/>
  <c r="E60" i="2"/>
  <c r="E59" i="2"/>
  <c r="E45" i="2"/>
  <c r="E44" i="2"/>
  <c r="E23" i="2"/>
  <c r="E24" i="2"/>
  <c r="E71" i="2"/>
  <c r="E73" i="2"/>
  <c r="E36" i="2"/>
  <c r="F36" i="2" s="1"/>
  <c r="G36" i="2" s="1"/>
  <c r="H36" i="2" s="1"/>
  <c r="I36" i="2" s="1"/>
  <c r="J36" i="2" s="1"/>
  <c r="K36" i="2" s="1"/>
  <c r="L36" i="2" s="1"/>
  <c r="M36" i="2" s="1"/>
  <c r="O36" i="2" s="1"/>
  <c r="P36" i="2" s="1"/>
  <c r="Q36" i="2" s="1"/>
  <c r="R36" i="2" s="1"/>
  <c r="S36" i="2" s="1"/>
  <c r="T36" i="2" s="1"/>
  <c r="U36" i="2" s="1"/>
  <c r="V36" i="2" s="1"/>
  <c r="W36" i="2" s="1"/>
  <c r="E35" i="2"/>
  <c r="F35" i="2" s="1"/>
  <c r="G35" i="2" s="1"/>
  <c r="H35" i="2" s="1"/>
  <c r="I35" i="2" s="1"/>
  <c r="J35" i="2" s="1"/>
  <c r="K35" i="2" s="1"/>
  <c r="L35" i="2" s="1"/>
  <c r="M35" i="2" s="1"/>
  <c r="F24" i="2"/>
  <c r="G24" i="2"/>
  <c r="G45" i="2" s="1"/>
  <c r="H24" i="2"/>
  <c r="H45" i="2" s="1"/>
  <c r="H60" i="2" s="1"/>
  <c r="I24" i="2"/>
  <c r="I45" i="2" s="1"/>
  <c r="I60" i="2" s="1"/>
  <c r="J24" i="2"/>
  <c r="J45" i="2" s="1"/>
  <c r="J60" i="2" s="1"/>
  <c r="K24" i="2"/>
  <c r="K45" i="2" s="1"/>
  <c r="K60" i="2" s="1"/>
  <c r="L24" i="2"/>
  <c r="L45" i="2" s="1"/>
  <c r="L60" i="2" s="1"/>
  <c r="M24" i="2"/>
  <c r="M45" i="2" s="1"/>
  <c r="M60" i="2" s="1"/>
  <c r="N24" i="2"/>
  <c r="O24" i="2"/>
  <c r="P24" i="2"/>
  <c r="Q24" i="2"/>
  <c r="R24" i="2"/>
  <c r="S24" i="2"/>
  <c r="T24" i="2"/>
  <c r="U24" i="2"/>
  <c r="V24" i="2"/>
  <c r="W24" i="2"/>
  <c r="T31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E69" i="2"/>
  <c r="Q45" i="2" l="1"/>
  <c r="Q60" i="2" s="1"/>
  <c r="P45" i="2"/>
  <c r="P60" i="2" s="1"/>
  <c r="O45" i="2"/>
  <c r="O60" i="2" s="1"/>
  <c r="S45" i="2"/>
  <c r="S60" i="2" s="1"/>
  <c r="W45" i="2"/>
  <c r="W60" i="2" s="1"/>
  <c r="U45" i="2"/>
  <c r="U60" i="2" s="1"/>
  <c r="T45" i="2"/>
  <c r="T60" i="2" s="1"/>
  <c r="R45" i="2"/>
  <c r="R60" i="2" s="1"/>
  <c r="G60" i="2"/>
  <c r="V45" i="2"/>
  <c r="V60" i="2" s="1"/>
  <c r="N45" i="2"/>
  <c r="N60" i="2" s="1"/>
  <c r="F45" i="2"/>
  <c r="F60" i="2" s="1"/>
  <c r="D75" i="6"/>
  <c r="D11" i="10"/>
  <c r="D13" i="10" s="1"/>
  <c r="D5" i="10"/>
  <c r="D7" i="10" s="1"/>
  <c r="X45" i="2" l="1"/>
  <c r="X60" i="2"/>
  <c r="N61" i="6"/>
  <c r="O61" i="6"/>
  <c r="P61" i="6"/>
  <c r="N62" i="6"/>
  <c r="O62" i="6"/>
  <c r="P62" i="6"/>
  <c r="N63" i="6"/>
  <c r="O63" i="6"/>
  <c r="P63" i="6"/>
  <c r="N64" i="6"/>
  <c r="O64" i="6"/>
  <c r="P64" i="6"/>
  <c r="N65" i="6"/>
  <c r="O65" i="6"/>
  <c r="P65" i="6"/>
  <c r="N66" i="6"/>
  <c r="O66" i="6"/>
  <c r="P66" i="6"/>
  <c r="E75" i="6" l="1"/>
  <c r="F69" i="2"/>
  <c r="N67" i="6"/>
  <c r="O67" i="6"/>
  <c r="P67" i="6"/>
  <c r="F75" i="6" l="1"/>
  <c r="G69" i="2"/>
  <c r="H69" i="2" l="1"/>
  <c r="H72" i="2" s="1"/>
  <c r="G75" i="6"/>
  <c r="H75" i="6" l="1"/>
  <c r="H78" i="6" s="1"/>
  <c r="I69" i="2"/>
  <c r="J69" i="2" s="1"/>
  <c r="I75" i="6" l="1"/>
  <c r="I78" i="6" s="1"/>
  <c r="I72" i="2"/>
  <c r="K69" i="2"/>
  <c r="J75" i="6"/>
  <c r="L69" i="2" l="1"/>
  <c r="K75" i="6"/>
  <c r="M69" i="2" l="1"/>
  <c r="L75" i="6"/>
  <c r="N69" i="2" l="1"/>
  <c r="M75" i="6"/>
  <c r="N75" i="6" l="1"/>
  <c r="N77" i="6" s="1"/>
  <c r="N79" i="6" s="1"/>
  <c r="N71" i="2"/>
  <c r="N73" i="2" s="1"/>
  <c r="O69" i="2"/>
  <c r="O75" i="6" l="1"/>
  <c r="O77" i="6" s="1"/>
  <c r="O79" i="6" s="1"/>
  <c r="P69" i="2"/>
  <c r="Q69" i="2" s="1"/>
  <c r="O71" i="2"/>
  <c r="O73" i="2" s="1"/>
  <c r="Q71" i="2" l="1"/>
  <c r="Q73" i="2" s="1"/>
  <c r="R69" i="2"/>
  <c r="P71" i="2"/>
  <c r="P73" i="2" s="1"/>
  <c r="P75" i="6"/>
  <c r="P77" i="6" s="1"/>
  <c r="P79" i="6" s="1"/>
  <c r="S69" i="2" l="1"/>
  <c r="R71" i="2"/>
  <c r="R73" i="2" s="1"/>
  <c r="T69" i="2" l="1"/>
  <c r="S71" i="2"/>
  <c r="S73" i="2" s="1"/>
  <c r="X77" i="2" s="1"/>
  <c r="U69" i="2" l="1"/>
  <c r="T71" i="2"/>
  <c r="T73" i="2" s="1"/>
  <c r="T78" i="2" s="1"/>
  <c r="V69" i="2" l="1"/>
  <c r="U71" i="2"/>
  <c r="U73" i="2" s="1"/>
  <c r="U78" i="2" s="1"/>
  <c r="W69" i="2" l="1"/>
  <c r="V71" i="2"/>
  <c r="V73" i="2" s="1"/>
  <c r="V78" i="2" s="1"/>
  <c r="W71" i="2" l="1"/>
  <c r="W73" i="2" s="1"/>
  <c r="W78" i="2" s="1"/>
  <c r="X78" i="2" s="1"/>
  <c r="X69" i="2"/>
  <c r="F17" i="6" l="1"/>
  <c r="G17" i="6" s="1"/>
  <c r="H17" i="6" s="1"/>
  <c r="I17" i="6" s="1"/>
  <c r="J17" i="6" s="1"/>
  <c r="K17" i="6" s="1"/>
  <c r="L17" i="6" s="1"/>
  <c r="M17" i="6" s="1"/>
  <c r="N17" i="6" s="1"/>
  <c r="O17" i="6" s="1"/>
  <c r="P17" i="6" s="1"/>
  <c r="F16" i="6"/>
  <c r="G16" i="6" s="1"/>
  <c r="H16" i="6" s="1"/>
  <c r="I16" i="6" s="1"/>
  <c r="J16" i="6" s="1"/>
  <c r="K16" i="6" s="1"/>
  <c r="L16" i="6" s="1"/>
  <c r="M16" i="6" s="1"/>
  <c r="N16" i="6" s="1"/>
  <c r="O16" i="6" s="1"/>
  <c r="P16" i="6" s="1"/>
  <c r="E15" i="6"/>
  <c r="F15" i="6" s="1"/>
  <c r="G15" i="6" s="1"/>
  <c r="H15" i="6" s="1"/>
  <c r="I15" i="6" s="1"/>
  <c r="J15" i="6" s="1"/>
  <c r="K15" i="6" s="1"/>
  <c r="L15" i="6" s="1"/>
  <c r="M15" i="6" s="1"/>
  <c r="N15" i="6" s="1"/>
  <c r="G78" i="6"/>
  <c r="F78" i="6"/>
  <c r="E78" i="6"/>
  <c r="D78" i="6"/>
  <c r="M77" i="6"/>
  <c r="L77" i="6"/>
  <c r="K77" i="6"/>
  <c r="J77" i="6"/>
  <c r="I77" i="6"/>
  <c r="H77" i="6"/>
  <c r="G77" i="6"/>
  <c r="F77" i="6"/>
  <c r="E77" i="6"/>
  <c r="D77" i="6"/>
  <c r="R75" i="6"/>
  <c r="Q75" i="6"/>
  <c r="E74" i="6"/>
  <c r="E73" i="6" s="1"/>
  <c r="D73" i="6"/>
  <c r="M66" i="6"/>
  <c r="L66" i="6"/>
  <c r="K66" i="6"/>
  <c r="J66" i="6"/>
  <c r="I66" i="6"/>
  <c r="H66" i="6"/>
  <c r="G66" i="6"/>
  <c r="F66" i="6"/>
  <c r="E66" i="6"/>
  <c r="D66" i="6"/>
  <c r="M65" i="6"/>
  <c r="L65" i="6"/>
  <c r="K65" i="6"/>
  <c r="J65" i="6"/>
  <c r="I65" i="6"/>
  <c r="H65" i="6"/>
  <c r="G65" i="6"/>
  <c r="F65" i="6"/>
  <c r="E65" i="6"/>
  <c r="D65" i="6"/>
  <c r="M64" i="6"/>
  <c r="L64" i="6"/>
  <c r="K64" i="6"/>
  <c r="J64" i="6"/>
  <c r="I64" i="6"/>
  <c r="H64" i="6"/>
  <c r="G64" i="6"/>
  <c r="F64" i="6"/>
  <c r="E64" i="6"/>
  <c r="D64" i="6"/>
  <c r="M63" i="6"/>
  <c r="L63" i="6"/>
  <c r="K63" i="6"/>
  <c r="J63" i="6"/>
  <c r="I63" i="6"/>
  <c r="H63" i="6"/>
  <c r="G63" i="6"/>
  <c r="F63" i="6"/>
  <c r="E63" i="6"/>
  <c r="D63" i="6"/>
  <c r="M62" i="6"/>
  <c r="L62" i="6"/>
  <c r="K62" i="6"/>
  <c r="J62" i="6"/>
  <c r="I62" i="6"/>
  <c r="H62" i="6"/>
  <c r="G62" i="6"/>
  <c r="F62" i="6"/>
  <c r="E62" i="6"/>
  <c r="D62" i="6"/>
  <c r="M61" i="6"/>
  <c r="L61" i="6"/>
  <c r="K61" i="6"/>
  <c r="J61" i="6"/>
  <c r="I61" i="6"/>
  <c r="H61" i="6"/>
  <c r="G61" i="6"/>
  <c r="F61" i="6"/>
  <c r="E61" i="6"/>
  <c r="D61" i="6"/>
  <c r="E37" i="6"/>
  <c r="F37" i="6" s="1"/>
  <c r="G37" i="6" s="1"/>
  <c r="H37" i="6" s="1"/>
  <c r="I37" i="6" s="1"/>
  <c r="J37" i="6" s="1"/>
  <c r="K37" i="6" s="1"/>
  <c r="L37" i="6" s="1"/>
  <c r="M37" i="6" s="1"/>
  <c r="N37" i="6" s="1"/>
  <c r="B37" i="6"/>
  <c r="E36" i="6"/>
  <c r="F36" i="6" s="1"/>
  <c r="G36" i="6" s="1"/>
  <c r="H36" i="6" s="1"/>
  <c r="I36" i="6" s="1"/>
  <c r="J36" i="6" s="1"/>
  <c r="K36" i="6" s="1"/>
  <c r="L36" i="6" s="1"/>
  <c r="M36" i="6" s="1"/>
  <c r="N36" i="6" s="1"/>
  <c r="B36" i="6"/>
  <c r="E35" i="6"/>
  <c r="F35" i="6" s="1"/>
  <c r="G35" i="6" s="1"/>
  <c r="H35" i="6" s="1"/>
  <c r="I35" i="6" s="1"/>
  <c r="J35" i="6" s="1"/>
  <c r="K35" i="6" s="1"/>
  <c r="L35" i="6" s="1"/>
  <c r="M35" i="6" s="1"/>
  <c r="N35" i="6" s="1"/>
  <c r="B35" i="6"/>
  <c r="E34" i="6"/>
  <c r="F34" i="6" s="1"/>
  <c r="G34" i="6" s="1"/>
  <c r="H34" i="6" s="1"/>
  <c r="I34" i="6" s="1"/>
  <c r="J34" i="6" s="1"/>
  <c r="K34" i="6" s="1"/>
  <c r="L34" i="6" s="1"/>
  <c r="M34" i="6" s="1"/>
  <c r="N34" i="6" s="1"/>
  <c r="B34" i="6"/>
  <c r="E33" i="6"/>
  <c r="F33" i="6" s="1"/>
  <c r="G33" i="6" s="1"/>
  <c r="H33" i="6" s="1"/>
  <c r="I33" i="6" s="1"/>
  <c r="J33" i="6" s="1"/>
  <c r="K33" i="6" s="1"/>
  <c r="L33" i="6" s="1"/>
  <c r="M33" i="6" s="1"/>
  <c r="N33" i="6" s="1"/>
  <c r="B33" i="6"/>
  <c r="E32" i="6"/>
  <c r="F32" i="6" s="1"/>
  <c r="G32" i="6" s="1"/>
  <c r="H32" i="6" s="1"/>
  <c r="I32" i="6" s="1"/>
  <c r="J32" i="6" s="1"/>
  <c r="K32" i="6" s="1"/>
  <c r="L32" i="6" s="1"/>
  <c r="M32" i="6" s="1"/>
  <c r="N32" i="6" s="1"/>
  <c r="B32" i="6"/>
  <c r="D30" i="6"/>
  <c r="C28" i="6"/>
  <c r="E10" i="6"/>
  <c r="F10" i="6" s="1"/>
  <c r="G10" i="6" s="1"/>
  <c r="H10" i="6" s="1"/>
  <c r="I10" i="6" s="1"/>
  <c r="J10" i="6" s="1"/>
  <c r="K10" i="6" s="1"/>
  <c r="L10" i="6" s="1"/>
  <c r="M10" i="6" s="1"/>
  <c r="N10" i="6" s="1"/>
  <c r="O10" i="6" s="1"/>
  <c r="P10" i="6" s="1"/>
  <c r="E9" i="6"/>
  <c r="E8" i="6" s="1"/>
  <c r="E29" i="6" s="1"/>
  <c r="E46" i="6" s="1"/>
  <c r="E51" i="6" s="1"/>
  <c r="E60" i="6" s="1"/>
  <c r="D8" i="6"/>
  <c r="D29" i="6" s="1"/>
  <c r="D46" i="6" s="1"/>
  <c r="D51" i="6" s="1"/>
  <c r="D60" i="6" s="1"/>
  <c r="F71" i="2"/>
  <c r="G71" i="2"/>
  <c r="H71" i="2"/>
  <c r="I71" i="2"/>
  <c r="I73" i="2" s="1"/>
  <c r="J71" i="2"/>
  <c r="J73" i="2" s="1"/>
  <c r="K71" i="2"/>
  <c r="K73" i="2" s="1"/>
  <c r="L71" i="2"/>
  <c r="L73" i="2" s="1"/>
  <c r="M71" i="2"/>
  <c r="M73" i="2" s="1"/>
  <c r="F72" i="2"/>
  <c r="G72" i="2"/>
  <c r="E72" i="2"/>
  <c r="D72" i="2"/>
  <c r="X71" i="2" l="1"/>
  <c r="O15" i="6"/>
  <c r="O34" i="6"/>
  <c r="O35" i="6"/>
  <c r="O32" i="6"/>
  <c r="O36" i="6"/>
  <c r="O33" i="6"/>
  <c r="O37" i="6"/>
  <c r="G73" i="2"/>
  <c r="F73" i="2"/>
  <c r="X76" i="2" s="1"/>
  <c r="H73" i="2"/>
  <c r="K79" i="6"/>
  <c r="D79" i="6"/>
  <c r="L79" i="6"/>
  <c r="E79" i="6"/>
  <c r="M79" i="6"/>
  <c r="F79" i="6"/>
  <c r="E67" i="6"/>
  <c r="M67" i="6"/>
  <c r="L67" i="6"/>
  <c r="H79" i="6"/>
  <c r="R66" i="6"/>
  <c r="G79" i="6"/>
  <c r="R62" i="6"/>
  <c r="I67" i="6"/>
  <c r="R78" i="6"/>
  <c r="R65" i="6"/>
  <c r="J67" i="6"/>
  <c r="F74" i="6"/>
  <c r="F73" i="6" s="1"/>
  <c r="I79" i="6"/>
  <c r="F67" i="6"/>
  <c r="R61" i="6"/>
  <c r="H67" i="6"/>
  <c r="K67" i="6"/>
  <c r="Q65" i="6"/>
  <c r="Q66" i="6"/>
  <c r="J79" i="6"/>
  <c r="F9" i="6"/>
  <c r="Q63" i="6"/>
  <c r="E30" i="6"/>
  <c r="R64" i="6"/>
  <c r="Q64" i="6"/>
  <c r="D67" i="6"/>
  <c r="R63" i="6"/>
  <c r="R77" i="6"/>
  <c r="Q62" i="6"/>
  <c r="G67" i="6"/>
  <c r="Q78" i="6"/>
  <c r="Q61" i="6"/>
  <c r="Q77" i="6"/>
  <c r="X72" i="2"/>
  <c r="D73" i="2"/>
  <c r="X73" i="2" l="1"/>
  <c r="P15" i="6"/>
  <c r="P34" i="6"/>
  <c r="P36" i="6"/>
  <c r="P33" i="6"/>
  <c r="P32" i="6"/>
  <c r="P37" i="6"/>
  <c r="P35" i="6"/>
  <c r="Q79" i="6"/>
  <c r="R79" i="6"/>
  <c r="R67" i="6"/>
  <c r="G74" i="6"/>
  <c r="H74" i="6" s="1"/>
  <c r="G9" i="6"/>
  <c r="F30" i="6"/>
  <c r="F8" i="6"/>
  <c r="F29" i="6" s="1"/>
  <c r="F46" i="6" s="1"/>
  <c r="F51" i="6" s="1"/>
  <c r="F60" i="6" s="1"/>
  <c r="Q67" i="6"/>
  <c r="X75" i="2" l="1"/>
  <c r="G73" i="6"/>
  <c r="H9" i="6"/>
  <c r="G8" i="6"/>
  <c r="G29" i="6" s="1"/>
  <c r="G46" i="6" s="1"/>
  <c r="G51" i="6" s="1"/>
  <c r="G60" i="6" s="1"/>
  <c r="G30" i="6"/>
  <c r="I74" i="6"/>
  <c r="H73" i="6"/>
  <c r="J74" i="6" l="1"/>
  <c r="I73" i="6"/>
  <c r="I9" i="6"/>
  <c r="H8" i="6"/>
  <c r="H29" i="6" s="1"/>
  <c r="H46" i="6" s="1"/>
  <c r="H51" i="6" s="1"/>
  <c r="H60" i="6" s="1"/>
  <c r="H30" i="6"/>
  <c r="K74" i="6" l="1"/>
  <c r="J73" i="6"/>
  <c r="I30" i="6"/>
  <c r="I8" i="6"/>
  <c r="I29" i="6" s="1"/>
  <c r="I46" i="6" s="1"/>
  <c r="I51" i="6" s="1"/>
  <c r="I60" i="6" s="1"/>
  <c r="J9" i="6"/>
  <c r="J8" i="6" l="1"/>
  <c r="J29" i="6" s="1"/>
  <c r="J46" i="6" s="1"/>
  <c r="J51" i="6" s="1"/>
  <c r="J60" i="6" s="1"/>
  <c r="K9" i="6"/>
  <c r="J30" i="6"/>
  <c r="L74" i="6"/>
  <c r="K73" i="6"/>
  <c r="L9" i="6" l="1"/>
  <c r="K8" i="6"/>
  <c r="K29" i="6" s="1"/>
  <c r="K46" i="6" s="1"/>
  <c r="K51" i="6" s="1"/>
  <c r="K60" i="6" s="1"/>
  <c r="K30" i="6"/>
  <c r="L73" i="6"/>
  <c r="M74" i="6"/>
  <c r="N74" i="6" s="1"/>
  <c r="O74" i="6" l="1"/>
  <c r="N73" i="6"/>
  <c r="M73" i="6"/>
  <c r="L30" i="6"/>
  <c r="M9" i="6"/>
  <c r="N9" i="6" s="1"/>
  <c r="L8" i="6"/>
  <c r="L29" i="6" s="1"/>
  <c r="L46" i="6" s="1"/>
  <c r="L51" i="6" s="1"/>
  <c r="L60" i="6" s="1"/>
  <c r="O9" i="6" l="1"/>
  <c r="N8" i="6"/>
  <c r="N29" i="6" s="1"/>
  <c r="N46" i="6" s="1"/>
  <c r="N51" i="6" s="1"/>
  <c r="N60" i="6" s="1"/>
  <c r="N30" i="6"/>
  <c r="P74" i="6"/>
  <c r="P73" i="6" s="1"/>
  <c r="O73" i="6"/>
  <c r="M8" i="6"/>
  <c r="M29" i="6" s="1"/>
  <c r="M46" i="6" s="1"/>
  <c r="M51" i="6" s="1"/>
  <c r="M60" i="6" s="1"/>
  <c r="M30" i="6"/>
  <c r="O30" i="6" l="1"/>
  <c r="O8" i="6"/>
  <c r="O29" i="6" s="1"/>
  <c r="O46" i="6" s="1"/>
  <c r="O51" i="6" s="1"/>
  <c r="O60" i="6" s="1"/>
  <c r="P9" i="6"/>
  <c r="E68" i="2"/>
  <c r="F68" i="2" s="1"/>
  <c r="D67" i="2"/>
  <c r="P8" i="6" l="1"/>
  <c r="P29" i="6" s="1"/>
  <c r="P46" i="6" s="1"/>
  <c r="P51" i="6" s="1"/>
  <c r="P60" i="6" s="1"/>
  <c r="P30" i="6"/>
  <c r="E67" i="2"/>
  <c r="F67" i="2"/>
  <c r="G68" i="2"/>
  <c r="F12" i="3"/>
  <c r="D9" i="3"/>
  <c r="F9" i="3" s="1"/>
  <c r="F11" i="3"/>
  <c r="J8" i="3" s="1"/>
  <c r="J9" i="3" s="1"/>
  <c r="C6" i="2" s="1"/>
  <c r="E12" i="2" s="1"/>
  <c r="F13" i="3"/>
  <c r="F14" i="3"/>
  <c r="F10" i="3"/>
  <c r="G67" i="2" l="1"/>
  <c r="H68" i="2"/>
  <c r="F15" i="3"/>
  <c r="F16" i="3" s="1"/>
  <c r="D12" i="6" l="1"/>
  <c r="E13" i="6"/>
  <c r="H67" i="2"/>
  <c r="I68" i="2"/>
  <c r="E33" i="2"/>
  <c r="F33" i="2" s="1"/>
  <c r="G33" i="2" s="1"/>
  <c r="H33" i="2" s="1"/>
  <c r="I33" i="2" s="1"/>
  <c r="J33" i="2" s="1"/>
  <c r="K33" i="2" s="1"/>
  <c r="L33" i="2" s="1"/>
  <c r="M33" i="2" s="1"/>
  <c r="N33" i="2" s="1"/>
  <c r="O33" i="2" s="1"/>
  <c r="P33" i="2" s="1"/>
  <c r="Q33" i="2" s="1"/>
  <c r="R33" i="2" s="1"/>
  <c r="S33" i="2" s="1"/>
  <c r="T33" i="2" s="1"/>
  <c r="U33" i="2" s="1"/>
  <c r="V33" i="2" s="1"/>
  <c r="W33" i="2" s="1"/>
  <c r="E34" i="2"/>
  <c r="B34" i="2"/>
  <c r="B33" i="2"/>
  <c r="E32" i="2"/>
  <c r="F32" i="2" s="1"/>
  <c r="G32" i="2" s="1"/>
  <c r="H32" i="2" s="1"/>
  <c r="I32" i="2" s="1"/>
  <c r="J32" i="2" s="1"/>
  <c r="K32" i="2" s="1"/>
  <c r="L32" i="2" s="1"/>
  <c r="M32" i="2" s="1"/>
  <c r="N32" i="2" s="1"/>
  <c r="O32" i="2" s="1"/>
  <c r="P32" i="2" s="1"/>
  <c r="Q32" i="2" s="1"/>
  <c r="B32" i="2"/>
  <c r="E31" i="2"/>
  <c r="F31" i="2" s="1"/>
  <c r="G31" i="2" s="1"/>
  <c r="H31" i="2" s="1"/>
  <c r="I31" i="2" s="1"/>
  <c r="J31" i="2" s="1"/>
  <c r="K31" i="2" s="1"/>
  <c r="L31" i="2" s="1"/>
  <c r="M31" i="2" s="1"/>
  <c r="N31" i="2" s="1"/>
  <c r="O31" i="2" s="1"/>
  <c r="P31" i="2" s="1"/>
  <c r="Q31" i="2" s="1"/>
  <c r="R31" i="2" s="1"/>
  <c r="U31" i="2" s="1"/>
  <c r="V31" i="2" s="1"/>
  <c r="W31" i="2" s="1"/>
  <c r="B31" i="2"/>
  <c r="E30" i="2"/>
  <c r="F30" i="2" s="1"/>
  <c r="G30" i="2" s="1"/>
  <c r="H30" i="2" s="1"/>
  <c r="I30" i="2" s="1"/>
  <c r="J30" i="2" s="1"/>
  <c r="K30" i="2" s="1"/>
  <c r="L30" i="2" s="1"/>
  <c r="M30" i="2" s="1"/>
  <c r="N30" i="2" s="1"/>
  <c r="O30" i="2" s="1"/>
  <c r="P30" i="2" s="1"/>
  <c r="Q30" i="2" s="1"/>
  <c r="R30" i="2" s="1"/>
  <c r="S30" i="2" s="1"/>
  <c r="T30" i="2" s="1"/>
  <c r="U30" i="2" s="1"/>
  <c r="V30" i="2" s="1"/>
  <c r="W30" i="2" s="1"/>
  <c r="B30" i="2"/>
  <c r="E29" i="2"/>
  <c r="F29" i="2" s="1"/>
  <c r="G29" i="2" s="1"/>
  <c r="H29" i="2" s="1"/>
  <c r="I29" i="2" s="1"/>
  <c r="J29" i="2" s="1"/>
  <c r="K29" i="2" s="1"/>
  <c r="L29" i="2" s="1"/>
  <c r="M29" i="2" s="1"/>
  <c r="N29" i="2" s="1"/>
  <c r="O29" i="2" s="1"/>
  <c r="P29" i="2" s="1"/>
  <c r="Q29" i="2" s="1"/>
  <c r="R29" i="2" s="1"/>
  <c r="S29" i="2" s="1"/>
  <c r="T29" i="2" s="1"/>
  <c r="U29" i="2" s="1"/>
  <c r="V29" i="2" s="1"/>
  <c r="W29" i="2" s="1"/>
  <c r="B29" i="2"/>
  <c r="D27" i="2"/>
  <c r="E10" i="2"/>
  <c r="F10" i="2" s="1"/>
  <c r="G10" i="2" s="1"/>
  <c r="H10" i="2" s="1"/>
  <c r="I10" i="2" s="1"/>
  <c r="J10" i="2" s="1"/>
  <c r="K10" i="2" s="1"/>
  <c r="L10" i="2" s="1"/>
  <c r="M10" i="2" s="1"/>
  <c r="N10" i="2" s="1"/>
  <c r="O10" i="2" s="1"/>
  <c r="P10" i="2" s="1"/>
  <c r="Q10" i="2" s="1"/>
  <c r="R10" i="2" s="1"/>
  <c r="S10" i="2" s="1"/>
  <c r="T10" i="2" s="1"/>
  <c r="U10" i="2" s="1"/>
  <c r="V10" i="2" s="1"/>
  <c r="W10" i="2" s="1"/>
  <c r="E9" i="2"/>
  <c r="E8" i="2" s="1"/>
  <c r="E26" i="2" s="1"/>
  <c r="E47" i="2" s="1"/>
  <c r="E52" i="2" s="1"/>
  <c r="D8" i="2"/>
  <c r="D26" i="2" s="1"/>
  <c r="D47" i="2" s="1"/>
  <c r="D52" i="2" s="1"/>
  <c r="F34" i="2" l="1"/>
  <c r="G34" i="2" s="1"/>
  <c r="H34" i="2" s="1"/>
  <c r="I34" i="2" s="1"/>
  <c r="J34" i="2" s="1"/>
  <c r="K34" i="2" s="1"/>
  <c r="L34" i="2" s="1"/>
  <c r="M34" i="2" s="1"/>
  <c r="N34" i="2" s="1"/>
  <c r="O34" i="2" s="1"/>
  <c r="P34" i="2" s="1"/>
  <c r="Q34" i="2" s="1"/>
  <c r="R34" i="2" s="1"/>
  <c r="S34" i="2" s="1"/>
  <c r="T34" i="2" s="1"/>
  <c r="U34" i="2" s="1"/>
  <c r="V34" i="2" s="1"/>
  <c r="W34" i="2" s="1"/>
  <c r="E43" i="2"/>
  <c r="E58" i="2" s="1"/>
  <c r="F13" i="6"/>
  <c r="G13" i="6" s="1"/>
  <c r="H13" i="6" s="1"/>
  <c r="I13" i="6" s="1"/>
  <c r="J13" i="6" s="1"/>
  <c r="K13" i="6" s="1"/>
  <c r="L13" i="6" s="1"/>
  <c r="M13" i="6" s="1"/>
  <c r="N13" i="6" s="1"/>
  <c r="O13" i="6" s="1"/>
  <c r="P13" i="6" s="1"/>
  <c r="D14" i="6"/>
  <c r="E12" i="6"/>
  <c r="F12" i="6" s="1"/>
  <c r="R32" i="2"/>
  <c r="F12" i="2"/>
  <c r="J68" i="2"/>
  <c r="I67" i="2"/>
  <c r="E27" i="2"/>
  <c r="F9" i="2"/>
  <c r="G12" i="6" l="1"/>
  <c r="F14" i="6"/>
  <c r="E14" i="6"/>
  <c r="S32" i="2"/>
  <c r="G12" i="2"/>
  <c r="H12" i="2" s="1"/>
  <c r="I12" i="2" s="1"/>
  <c r="J12" i="2" s="1"/>
  <c r="K12" i="2" s="1"/>
  <c r="L12" i="2" s="1"/>
  <c r="D14" i="2"/>
  <c r="D15" i="2" s="1"/>
  <c r="D20" i="6"/>
  <c r="K68" i="2"/>
  <c r="J67" i="2"/>
  <c r="F8" i="2"/>
  <c r="F26" i="2" s="1"/>
  <c r="F47" i="2" s="1"/>
  <c r="F52" i="2" s="1"/>
  <c r="G9" i="2"/>
  <c r="F27" i="2"/>
  <c r="E14" i="2"/>
  <c r="E15" i="2" s="1"/>
  <c r="D20" i="2" l="1"/>
  <c r="D41" i="2" s="1"/>
  <c r="D56" i="2" s="1"/>
  <c r="D23" i="2"/>
  <c r="D24" i="2"/>
  <c r="X24" i="2" s="1"/>
  <c r="H12" i="6"/>
  <c r="G14" i="6"/>
  <c r="T32" i="2"/>
  <c r="D19" i="2"/>
  <c r="M12" i="2"/>
  <c r="N12" i="2" s="1"/>
  <c r="D15" i="10"/>
  <c r="D17" i="10" s="1"/>
  <c r="D18" i="10" s="1"/>
  <c r="D25" i="10" s="1"/>
  <c r="D21" i="2"/>
  <c r="D22" i="2"/>
  <c r="D17" i="2"/>
  <c r="D18" i="2"/>
  <c r="E20" i="6"/>
  <c r="D26" i="6"/>
  <c r="D25" i="6"/>
  <c r="D24" i="6"/>
  <c r="D27" i="6"/>
  <c r="D22" i="6"/>
  <c r="D23" i="6"/>
  <c r="L68" i="2"/>
  <c r="K67" i="2"/>
  <c r="F14" i="2"/>
  <c r="F15" i="2" s="1"/>
  <c r="F23" i="2" s="1"/>
  <c r="E21" i="2"/>
  <c r="E22" i="2"/>
  <c r="E17" i="2"/>
  <c r="E18" i="2"/>
  <c r="E20" i="2"/>
  <c r="E19" i="2"/>
  <c r="H9" i="2"/>
  <c r="G27" i="2"/>
  <c r="G8" i="2"/>
  <c r="G26" i="2" s="1"/>
  <c r="G47" i="2" s="1"/>
  <c r="G52" i="2" s="1"/>
  <c r="F25" i="2" l="1"/>
  <c r="F44" i="2"/>
  <c r="F59" i="2" s="1"/>
  <c r="I12" i="6"/>
  <c r="H14" i="6"/>
  <c r="U32" i="2"/>
  <c r="D40" i="2"/>
  <c r="D43" i="2"/>
  <c r="D39" i="2"/>
  <c r="D38" i="2"/>
  <c r="D53" i="2" s="1"/>
  <c r="D25" i="2"/>
  <c r="O12" i="2"/>
  <c r="N14" i="2"/>
  <c r="N15" i="2" s="1"/>
  <c r="N23" i="2" s="1"/>
  <c r="D42" i="2"/>
  <c r="D44" i="6"/>
  <c r="F20" i="6"/>
  <c r="E24" i="6"/>
  <c r="E23" i="6"/>
  <c r="E40" i="6" s="1"/>
  <c r="E53" i="6" s="1"/>
  <c r="E27" i="6"/>
  <c r="E44" i="6" s="1"/>
  <c r="E57" i="6" s="1"/>
  <c r="E22" i="6"/>
  <c r="E26" i="6"/>
  <c r="E25" i="6"/>
  <c r="D82" i="6"/>
  <c r="D42" i="6"/>
  <c r="D40" i="6"/>
  <c r="D41" i="6"/>
  <c r="D43" i="6"/>
  <c r="D56" i="6" s="1"/>
  <c r="D39" i="6"/>
  <c r="D28" i="6"/>
  <c r="M68" i="2"/>
  <c r="N68" i="2" s="1"/>
  <c r="L67" i="2"/>
  <c r="E39" i="2"/>
  <c r="E54" i="2" s="1"/>
  <c r="H27" i="2"/>
  <c r="I9" i="2"/>
  <c r="H8" i="2"/>
  <c r="H26" i="2" s="1"/>
  <c r="H47" i="2" s="1"/>
  <c r="H52" i="2" s="1"/>
  <c r="F22" i="2"/>
  <c r="F18" i="2"/>
  <c r="F21" i="2"/>
  <c r="F17" i="2"/>
  <c r="F20" i="2"/>
  <c r="F19" i="2"/>
  <c r="E38" i="2"/>
  <c r="E53" i="2" s="1"/>
  <c r="E42" i="2"/>
  <c r="E40" i="2"/>
  <c r="E55" i="2" s="1"/>
  <c r="G14" i="2"/>
  <c r="G15" i="2" s="1"/>
  <c r="G23" i="2" s="1"/>
  <c r="E41" i="2"/>
  <c r="E56" i="2" s="1"/>
  <c r="E57" i="2" l="1"/>
  <c r="E61" i="2" s="1"/>
  <c r="E46" i="2"/>
  <c r="G59" i="2"/>
  <c r="G25" i="2"/>
  <c r="O44" i="2"/>
  <c r="N25" i="2"/>
  <c r="D55" i="2"/>
  <c r="J12" i="6"/>
  <c r="I14" i="6"/>
  <c r="V32" i="2"/>
  <c r="D54" i="2"/>
  <c r="D57" i="2"/>
  <c r="D58" i="2"/>
  <c r="D46" i="2"/>
  <c r="D50" i="2" s="1"/>
  <c r="N67" i="2"/>
  <c r="O68" i="2"/>
  <c r="N19" i="2"/>
  <c r="N40" i="2" s="1"/>
  <c r="N55" i="2" s="1"/>
  <c r="N18" i="2"/>
  <c r="N39" i="2" s="1"/>
  <c r="N54" i="2" s="1"/>
  <c r="N21" i="2"/>
  <c r="N42" i="2" s="1"/>
  <c r="N22" i="2"/>
  <c r="N43" i="2" s="1"/>
  <c r="N58" i="2" s="1"/>
  <c r="N17" i="2"/>
  <c r="N20" i="2"/>
  <c r="P12" i="2"/>
  <c r="O14" i="2"/>
  <c r="O15" i="2" s="1"/>
  <c r="O23" i="2" s="1"/>
  <c r="D53" i="6"/>
  <c r="F25" i="6"/>
  <c r="F27" i="6"/>
  <c r="F44" i="6" s="1"/>
  <c r="F57" i="6" s="1"/>
  <c r="F24" i="6"/>
  <c r="F22" i="6"/>
  <c r="F26" i="6"/>
  <c r="F23" i="6"/>
  <c r="E82" i="6"/>
  <c r="E42" i="6"/>
  <c r="E55" i="6" s="1"/>
  <c r="D54" i="6"/>
  <c r="D55" i="6"/>
  <c r="E43" i="6"/>
  <c r="E56" i="6" s="1"/>
  <c r="E28" i="6"/>
  <c r="E39" i="6"/>
  <c r="D52" i="6"/>
  <c r="D45" i="6"/>
  <c r="G20" i="6"/>
  <c r="E41" i="6"/>
  <c r="E54" i="6" s="1"/>
  <c r="D57" i="6"/>
  <c r="M67" i="2"/>
  <c r="F43" i="2"/>
  <c r="F58" i="2" s="1"/>
  <c r="I27" i="2"/>
  <c r="I8" i="2"/>
  <c r="I26" i="2" s="1"/>
  <c r="I47" i="2" s="1"/>
  <c r="I52" i="2" s="1"/>
  <c r="J9" i="2"/>
  <c r="F38" i="2"/>
  <c r="F39" i="2"/>
  <c r="F54" i="2" s="1"/>
  <c r="F40" i="2"/>
  <c r="F55" i="2" s="1"/>
  <c r="F41" i="2"/>
  <c r="F42" i="2"/>
  <c r="F46" i="2" s="1"/>
  <c r="H14" i="2"/>
  <c r="H15" i="2" s="1"/>
  <c r="H23" i="2" s="1"/>
  <c r="G19" i="2"/>
  <c r="G18" i="2"/>
  <c r="G21" i="2"/>
  <c r="G17" i="2"/>
  <c r="G20" i="2"/>
  <c r="G22" i="2"/>
  <c r="N57" i="2" l="1"/>
  <c r="N61" i="2" s="1"/>
  <c r="N46" i="2"/>
  <c r="H25" i="2"/>
  <c r="H59" i="2"/>
  <c r="P44" i="2"/>
  <c r="O59" i="2"/>
  <c r="O25" i="2"/>
  <c r="K12" i="6"/>
  <c r="J14" i="6"/>
  <c r="P14" i="2"/>
  <c r="P15" i="2" s="1"/>
  <c r="Q12" i="2"/>
  <c r="D61" i="2"/>
  <c r="W32" i="2"/>
  <c r="D48" i="2"/>
  <c r="D49" i="2"/>
  <c r="N41" i="2"/>
  <c r="N56" i="2" s="1"/>
  <c r="O18" i="2"/>
  <c r="O39" i="2" s="1"/>
  <c r="O54" i="2" s="1"/>
  <c r="O19" i="2"/>
  <c r="O40" i="2" s="1"/>
  <c r="O55" i="2" s="1"/>
  <c r="O21" i="2"/>
  <c r="O42" i="2" s="1"/>
  <c r="O17" i="2"/>
  <c r="O20" i="2"/>
  <c r="O22" i="2"/>
  <c r="O43" i="2" s="1"/>
  <c r="O58" i="2" s="1"/>
  <c r="O67" i="2"/>
  <c r="P68" i="2"/>
  <c r="N38" i="2"/>
  <c r="F40" i="6"/>
  <c r="F53" i="6" s="1"/>
  <c r="F43" i="6"/>
  <c r="F56" i="6" s="1"/>
  <c r="H20" i="6"/>
  <c r="D58" i="6"/>
  <c r="G27" i="6"/>
  <c r="G26" i="6"/>
  <c r="G24" i="6"/>
  <c r="G25" i="6"/>
  <c r="G23" i="6"/>
  <c r="G22" i="6"/>
  <c r="F42" i="6"/>
  <c r="F82" i="6"/>
  <c r="D47" i="6"/>
  <c r="D49" i="6"/>
  <c r="D48" i="6"/>
  <c r="F39" i="6"/>
  <c r="F28" i="6"/>
  <c r="F41" i="6"/>
  <c r="E52" i="6"/>
  <c r="E58" i="6" s="1"/>
  <c r="E45" i="6"/>
  <c r="E48" i="2"/>
  <c r="E51" i="2" s="1"/>
  <c r="E49" i="2"/>
  <c r="E50" i="2"/>
  <c r="G38" i="2"/>
  <c r="G39" i="2"/>
  <c r="I14" i="2"/>
  <c r="I15" i="2" s="1"/>
  <c r="I23" i="2" s="1"/>
  <c r="G40" i="2"/>
  <c r="G55" i="2" s="1"/>
  <c r="H22" i="2"/>
  <c r="H20" i="2"/>
  <c r="H17" i="2"/>
  <c r="H19" i="2"/>
  <c r="H21" i="2"/>
  <c r="H18" i="2"/>
  <c r="F56" i="2"/>
  <c r="F53" i="2"/>
  <c r="G42" i="2"/>
  <c r="G46" i="2" s="1"/>
  <c r="J27" i="2"/>
  <c r="K9" i="2"/>
  <c r="J8" i="2"/>
  <c r="J26" i="2" s="1"/>
  <c r="J47" i="2" s="1"/>
  <c r="J52" i="2" s="1"/>
  <c r="G43" i="2"/>
  <c r="G41" i="2"/>
  <c r="F57" i="2"/>
  <c r="F61" i="2" s="1"/>
  <c r="O57" i="2" l="1"/>
  <c r="O61" i="2" s="1"/>
  <c r="O46" i="2"/>
  <c r="J44" i="2"/>
  <c r="I59" i="2"/>
  <c r="I25" i="2"/>
  <c r="P20" i="2"/>
  <c r="P41" i="2" s="1"/>
  <c r="P56" i="2" s="1"/>
  <c r="P23" i="2"/>
  <c r="P67" i="2"/>
  <c r="Q68" i="2"/>
  <c r="P22" i="2"/>
  <c r="P43" i="2" s="1"/>
  <c r="P58" i="2" s="1"/>
  <c r="P19" i="2"/>
  <c r="P40" i="2" s="1"/>
  <c r="P55" i="2" s="1"/>
  <c r="R12" i="2"/>
  <c r="Q14" i="2"/>
  <c r="Q15" i="2" s="1"/>
  <c r="Q23" i="2" s="1"/>
  <c r="P17" i="2"/>
  <c r="P21" i="2"/>
  <c r="P42" i="2" s="1"/>
  <c r="P18" i="2"/>
  <c r="P39" i="2" s="1"/>
  <c r="P54" i="2" s="1"/>
  <c r="L12" i="6"/>
  <c r="K14" i="6"/>
  <c r="G58" i="2"/>
  <c r="G54" i="2"/>
  <c r="D51" i="2"/>
  <c r="N48" i="2"/>
  <c r="N53" i="2"/>
  <c r="O38" i="2"/>
  <c r="O53" i="2" s="1"/>
  <c r="O41" i="2"/>
  <c r="O56" i="2" s="1"/>
  <c r="D50" i="6"/>
  <c r="F55" i="6"/>
  <c r="F52" i="6"/>
  <c r="F45" i="6"/>
  <c r="G82" i="6"/>
  <c r="G42" i="6"/>
  <c r="G55" i="6" s="1"/>
  <c r="G40" i="6"/>
  <c r="G53" i="6" s="1"/>
  <c r="G41" i="6"/>
  <c r="G54" i="6" s="1"/>
  <c r="I20" i="6"/>
  <c r="E47" i="6"/>
  <c r="E49" i="6"/>
  <c r="E48" i="6"/>
  <c r="G43" i="6"/>
  <c r="G56" i="6" s="1"/>
  <c r="H24" i="6"/>
  <c r="H23" i="6"/>
  <c r="H27" i="6"/>
  <c r="H26" i="6"/>
  <c r="H25" i="6"/>
  <c r="H22" i="6"/>
  <c r="G39" i="6"/>
  <c r="G28" i="6"/>
  <c r="F54" i="6"/>
  <c r="G44" i="6"/>
  <c r="F48" i="2"/>
  <c r="F49" i="2"/>
  <c r="F50" i="2"/>
  <c r="G56" i="2"/>
  <c r="H43" i="2"/>
  <c r="H58" i="2" s="1"/>
  <c r="I21" i="2"/>
  <c r="I22" i="2"/>
  <c r="I20" i="2"/>
  <c r="I17" i="2"/>
  <c r="I19" i="2"/>
  <c r="I18" i="2"/>
  <c r="G57" i="2"/>
  <c r="G61" i="2" s="1"/>
  <c r="H40" i="2"/>
  <c r="H55" i="2" s="1"/>
  <c r="H39" i="2"/>
  <c r="H54" i="2" s="1"/>
  <c r="H42" i="2"/>
  <c r="K27" i="2"/>
  <c r="K8" i="2"/>
  <c r="K26" i="2" s="1"/>
  <c r="K47" i="2" s="1"/>
  <c r="K52" i="2" s="1"/>
  <c r="L9" i="2"/>
  <c r="H38" i="2"/>
  <c r="H41" i="2"/>
  <c r="H56" i="2" s="1"/>
  <c r="J14" i="2"/>
  <c r="J15" i="2" s="1"/>
  <c r="J23" i="2" s="1"/>
  <c r="G53" i="2"/>
  <c r="H57" i="2" l="1"/>
  <c r="H61" i="2" s="1"/>
  <c r="H46" i="2"/>
  <c r="P57" i="2"/>
  <c r="P46" i="2"/>
  <c r="Q44" i="2"/>
  <c r="Q59" i="2" s="1"/>
  <c r="P59" i="2"/>
  <c r="P61" i="2" s="1"/>
  <c r="P25" i="2"/>
  <c r="R44" i="2"/>
  <c r="Q25" i="2"/>
  <c r="J25" i="2"/>
  <c r="K44" i="2"/>
  <c r="J59" i="2"/>
  <c r="P38" i="2"/>
  <c r="Q67" i="2"/>
  <c r="R68" i="2"/>
  <c r="M12" i="6"/>
  <c r="L14" i="6"/>
  <c r="Q17" i="2"/>
  <c r="Q18" i="2"/>
  <c r="Q39" i="2" s="1"/>
  <c r="Q54" i="2" s="1"/>
  <c r="Q19" i="2"/>
  <c r="Q40" i="2" s="1"/>
  <c r="Q55" i="2" s="1"/>
  <c r="Q21" i="2"/>
  <c r="Q22" i="2"/>
  <c r="Q43" i="2" s="1"/>
  <c r="Q58" i="2" s="1"/>
  <c r="Q20" i="2"/>
  <c r="S12" i="2"/>
  <c r="R14" i="2"/>
  <c r="R15" i="2" s="1"/>
  <c r="R23" i="2" s="1"/>
  <c r="H53" i="2"/>
  <c r="N49" i="2"/>
  <c r="N50" i="2"/>
  <c r="O48" i="2"/>
  <c r="P53" i="2"/>
  <c r="G45" i="6"/>
  <c r="G49" i="6" s="1"/>
  <c r="E50" i="6"/>
  <c r="G52" i="6"/>
  <c r="J20" i="6"/>
  <c r="H40" i="6"/>
  <c r="H41" i="6"/>
  <c r="I27" i="6"/>
  <c r="I25" i="6"/>
  <c r="I24" i="6"/>
  <c r="I41" i="6" s="1"/>
  <c r="I54" i="6" s="1"/>
  <c r="I22" i="6"/>
  <c r="I23" i="6"/>
  <c r="I40" i="6" s="1"/>
  <c r="I53" i="6" s="1"/>
  <c r="I26" i="6"/>
  <c r="I43" i="6" s="1"/>
  <c r="I56" i="6" s="1"/>
  <c r="H43" i="6"/>
  <c r="G57" i="6"/>
  <c r="H28" i="6"/>
  <c r="H39" i="6"/>
  <c r="H52" i="6" s="1"/>
  <c r="F58" i="6"/>
  <c r="H44" i="6"/>
  <c r="H57" i="6" s="1"/>
  <c r="H42" i="6"/>
  <c r="H82" i="6"/>
  <c r="F47" i="6"/>
  <c r="F48" i="6"/>
  <c r="F49" i="6"/>
  <c r="G49" i="2"/>
  <c r="G50" i="2"/>
  <c r="G48" i="2"/>
  <c r="F51" i="2"/>
  <c r="K14" i="2"/>
  <c r="K15" i="2" s="1"/>
  <c r="K23" i="2" s="1"/>
  <c r="I43" i="2"/>
  <c r="I58" i="2" s="1"/>
  <c r="J20" i="2"/>
  <c r="J19" i="2"/>
  <c r="J18" i="2"/>
  <c r="J21" i="2"/>
  <c r="J17" i="2"/>
  <c r="J22" i="2"/>
  <c r="I42" i="2"/>
  <c r="I38" i="2"/>
  <c r="I41" i="2"/>
  <c r="I56" i="2" s="1"/>
  <c r="I39" i="2"/>
  <c r="L27" i="2"/>
  <c r="L8" i="2"/>
  <c r="L26" i="2" s="1"/>
  <c r="L47" i="2" s="1"/>
  <c r="L52" i="2" s="1"/>
  <c r="M9" i="2"/>
  <c r="N9" i="2" s="1"/>
  <c r="I40" i="2"/>
  <c r="I57" i="2" l="1"/>
  <c r="I46" i="2"/>
  <c r="R25" i="2"/>
  <c r="S44" i="2"/>
  <c r="R59" i="2"/>
  <c r="K25" i="2"/>
  <c r="L44" i="2"/>
  <c r="K59" i="2"/>
  <c r="S68" i="2"/>
  <c r="R67" i="2"/>
  <c r="Q38" i="2"/>
  <c r="Q42" i="2"/>
  <c r="R17" i="2"/>
  <c r="R19" i="2"/>
  <c r="R40" i="2" s="1"/>
  <c r="R55" i="2" s="1"/>
  <c r="R22" i="2"/>
  <c r="R21" i="2"/>
  <c r="R20" i="2"/>
  <c r="R18" i="2"/>
  <c r="R39" i="2" s="1"/>
  <c r="R54" i="2" s="1"/>
  <c r="T12" i="2"/>
  <c r="S14" i="2"/>
  <c r="S15" i="2" s="1"/>
  <c r="S23" i="2" s="1"/>
  <c r="N12" i="6"/>
  <c r="M14" i="6"/>
  <c r="Q41" i="2"/>
  <c r="Q56" i="2" s="1"/>
  <c r="I55" i="2"/>
  <c r="N51" i="2"/>
  <c r="O50" i="2"/>
  <c r="O49" i="2"/>
  <c r="G47" i="6"/>
  <c r="G48" i="6"/>
  <c r="P49" i="2"/>
  <c r="P50" i="2"/>
  <c r="P48" i="2"/>
  <c r="O9" i="2"/>
  <c r="N27" i="2"/>
  <c r="N8" i="2"/>
  <c r="N26" i="2" s="1"/>
  <c r="N47" i="2" s="1"/>
  <c r="N52" i="2" s="1"/>
  <c r="G58" i="6"/>
  <c r="J25" i="6"/>
  <c r="J22" i="6"/>
  <c r="J26" i="6"/>
  <c r="J24" i="6"/>
  <c r="J27" i="6"/>
  <c r="J23" i="6"/>
  <c r="J40" i="6" s="1"/>
  <c r="J53" i="6" s="1"/>
  <c r="H56" i="6"/>
  <c r="H45" i="6"/>
  <c r="H53" i="6"/>
  <c r="I82" i="6"/>
  <c r="I42" i="6"/>
  <c r="I55" i="6" s="1"/>
  <c r="H54" i="6"/>
  <c r="K20" i="6"/>
  <c r="I44" i="6"/>
  <c r="I57" i="6" s="1"/>
  <c r="F50" i="6"/>
  <c r="I28" i="6"/>
  <c r="I39" i="6"/>
  <c r="I52" i="6" s="1"/>
  <c r="H55" i="6"/>
  <c r="H50" i="2"/>
  <c r="H48" i="2"/>
  <c r="H49" i="2"/>
  <c r="J43" i="2"/>
  <c r="J38" i="2"/>
  <c r="J53" i="2" s="1"/>
  <c r="I54" i="2"/>
  <c r="K19" i="2"/>
  <c r="K18" i="2"/>
  <c r="K17" i="2"/>
  <c r="K21" i="2"/>
  <c r="K20" i="2"/>
  <c r="K22" i="2"/>
  <c r="J42" i="2"/>
  <c r="J46" i="2" s="1"/>
  <c r="L14" i="2"/>
  <c r="L15" i="2" s="1"/>
  <c r="L23" i="2" s="1"/>
  <c r="J41" i="2"/>
  <c r="J56" i="2" s="1"/>
  <c r="I53" i="2"/>
  <c r="J39" i="2"/>
  <c r="J54" i="2" s="1"/>
  <c r="M27" i="2"/>
  <c r="M8" i="2"/>
  <c r="M26" i="2" s="1"/>
  <c r="M47" i="2" s="1"/>
  <c r="M52" i="2" s="1"/>
  <c r="J40" i="2"/>
  <c r="J55" i="2" s="1"/>
  <c r="Q57" i="2" l="1"/>
  <c r="Q61" i="2" s="1"/>
  <c r="Q46" i="2"/>
  <c r="I61" i="2"/>
  <c r="M44" i="2"/>
  <c r="L25" i="2"/>
  <c r="L59" i="2"/>
  <c r="T44" i="2"/>
  <c r="S59" i="2"/>
  <c r="S25" i="2"/>
  <c r="S67" i="2"/>
  <c r="T68" i="2"/>
  <c r="P51" i="2"/>
  <c r="Q50" i="2"/>
  <c r="Q53" i="2"/>
  <c r="R41" i="2"/>
  <c r="R56" i="2" s="1"/>
  <c r="O12" i="6"/>
  <c r="N14" i="6"/>
  <c r="N20" i="6" s="1"/>
  <c r="R38" i="2"/>
  <c r="R53" i="2" s="1"/>
  <c r="S18" i="2"/>
  <c r="S39" i="2" s="1"/>
  <c r="S54" i="2" s="1"/>
  <c r="S21" i="2"/>
  <c r="S42" i="2" s="1"/>
  <c r="S19" i="2"/>
  <c r="S17" i="2"/>
  <c r="S20" i="2"/>
  <c r="S22" i="2"/>
  <c r="S43" i="2" s="1"/>
  <c r="S58" i="2" s="1"/>
  <c r="R43" i="2"/>
  <c r="R58" i="2" s="1"/>
  <c r="U12" i="2"/>
  <c r="T14" i="2"/>
  <c r="T15" i="2" s="1"/>
  <c r="T23" i="2" s="1"/>
  <c r="R42" i="2"/>
  <c r="J57" i="2"/>
  <c r="O51" i="2"/>
  <c r="G50" i="6"/>
  <c r="P9" i="2"/>
  <c r="Q9" i="2" s="1"/>
  <c r="O27" i="2"/>
  <c r="O8" i="2"/>
  <c r="O26" i="2" s="1"/>
  <c r="O47" i="2" s="1"/>
  <c r="O52" i="2" s="1"/>
  <c r="H58" i="6"/>
  <c r="J41" i="6"/>
  <c r="L20" i="6"/>
  <c r="J43" i="6"/>
  <c r="K22" i="6"/>
  <c r="K26" i="6"/>
  <c r="K27" i="6"/>
  <c r="K44" i="6" s="1"/>
  <c r="K57" i="6" s="1"/>
  <c r="K25" i="6"/>
  <c r="K24" i="6"/>
  <c r="K23" i="6"/>
  <c r="K40" i="6" s="1"/>
  <c r="K53" i="6" s="1"/>
  <c r="J28" i="6"/>
  <c r="J39" i="6"/>
  <c r="J52" i="6" s="1"/>
  <c r="J44" i="6"/>
  <c r="J57" i="6" s="1"/>
  <c r="J82" i="6"/>
  <c r="J42" i="6"/>
  <c r="H48" i="6"/>
  <c r="H49" i="6"/>
  <c r="H47" i="6"/>
  <c r="I58" i="6"/>
  <c r="I45" i="6"/>
  <c r="I50" i="2"/>
  <c r="I48" i="2"/>
  <c r="I49" i="2"/>
  <c r="K39" i="2"/>
  <c r="K54" i="2" s="1"/>
  <c r="G51" i="2"/>
  <c r="M14" i="2"/>
  <c r="M15" i="2" s="1"/>
  <c r="M23" i="2" s="1"/>
  <c r="K41" i="2"/>
  <c r="K56" i="2" s="1"/>
  <c r="L19" i="2"/>
  <c r="L20" i="2"/>
  <c r="L21" i="2"/>
  <c r="L17" i="2"/>
  <c r="L18" i="2"/>
  <c r="L22" i="2"/>
  <c r="K42" i="2"/>
  <c r="J58" i="2"/>
  <c r="K40" i="2"/>
  <c r="K43" i="2"/>
  <c r="H51" i="2"/>
  <c r="K38" i="2"/>
  <c r="J61" i="2" l="1"/>
  <c r="R57" i="2"/>
  <c r="R61" i="2" s="1"/>
  <c r="R46" i="2"/>
  <c r="K57" i="2"/>
  <c r="K46" i="2"/>
  <c r="S57" i="2"/>
  <c r="S46" i="2"/>
  <c r="S61" i="2"/>
  <c r="T25" i="2"/>
  <c r="U44" i="2"/>
  <c r="T59" i="2"/>
  <c r="M59" i="2"/>
  <c r="N44" i="2"/>
  <c r="N59" i="2" s="1"/>
  <c r="M25" i="2"/>
  <c r="T67" i="2"/>
  <c r="U68" i="2"/>
  <c r="Q49" i="2"/>
  <c r="Q48" i="2"/>
  <c r="T18" i="2"/>
  <c r="T17" i="2"/>
  <c r="T19" i="2"/>
  <c r="T40" i="2" s="1"/>
  <c r="T55" i="2" s="1"/>
  <c r="T22" i="2"/>
  <c r="T43" i="2" s="1"/>
  <c r="T58" i="2" s="1"/>
  <c r="T20" i="2"/>
  <c r="T21" i="2"/>
  <c r="T42" i="2" s="1"/>
  <c r="V12" i="2"/>
  <c r="U14" i="2"/>
  <c r="U15" i="2" s="1"/>
  <c r="U23" i="2" s="1"/>
  <c r="N24" i="6"/>
  <c r="N41" i="6" s="1"/>
  <c r="N54" i="6" s="1"/>
  <c r="N27" i="6"/>
  <c r="N44" i="6" s="1"/>
  <c r="N57" i="6" s="1"/>
  <c r="N22" i="6"/>
  <c r="N25" i="6"/>
  <c r="N26" i="6"/>
  <c r="N43" i="6" s="1"/>
  <c r="N56" i="6" s="1"/>
  <c r="N23" i="6"/>
  <c r="N40" i="6" s="1"/>
  <c r="N53" i="6" s="1"/>
  <c r="S38" i="2"/>
  <c r="P12" i="6"/>
  <c r="P14" i="6" s="1"/>
  <c r="P20" i="6" s="1"/>
  <c r="O14" i="6"/>
  <c r="O20" i="6" s="1"/>
  <c r="S40" i="2"/>
  <c r="S55" i="2" s="1"/>
  <c r="S41" i="2"/>
  <c r="S56" i="2" s="1"/>
  <c r="K58" i="2"/>
  <c r="K55" i="2"/>
  <c r="R9" i="2"/>
  <c r="Q8" i="2"/>
  <c r="P27" i="2"/>
  <c r="P8" i="2"/>
  <c r="P26" i="2" s="1"/>
  <c r="P47" i="2" s="1"/>
  <c r="P52" i="2" s="1"/>
  <c r="H50" i="6"/>
  <c r="K41" i="6"/>
  <c r="K54" i="6" s="1"/>
  <c r="J56" i="6"/>
  <c r="I49" i="6"/>
  <c r="I47" i="6"/>
  <c r="I48" i="6"/>
  <c r="M20" i="6"/>
  <c r="K82" i="6"/>
  <c r="K42" i="6"/>
  <c r="K55" i="6" s="1"/>
  <c r="J54" i="6"/>
  <c r="J55" i="6"/>
  <c r="J45" i="6"/>
  <c r="K43" i="6"/>
  <c r="K56" i="6" s="1"/>
  <c r="L25" i="6"/>
  <c r="L26" i="6"/>
  <c r="L27" i="6"/>
  <c r="L44" i="6" s="1"/>
  <c r="L22" i="6"/>
  <c r="L23" i="6"/>
  <c r="L40" i="6" s="1"/>
  <c r="L53" i="6" s="1"/>
  <c r="L24" i="6"/>
  <c r="L41" i="6" s="1"/>
  <c r="L54" i="6" s="1"/>
  <c r="K39" i="6"/>
  <c r="K28" i="6"/>
  <c r="J49" i="2"/>
  <c r="J50" i="2"/>
  <c r="J48" i="2"/>
  <c r="I51" i="2"/>
  <c r="L43" i="2"/>
  <c r="L58" i="2" s="1"/>
  <c r="M20" i="2"/>
  <c r="M21" i="2"/>
  <c r="M22" i="2"/>
  <c r="M19" i="2"/>
  <c r="M18" i="2"/>
  <c r="M17" i="2"/>
  <c r="L41" i="2"/>
  <c r="L39" i="2"/>
  <c r="L54" i="2" s="1"/>
  <c r="L38" i="2"/>
  <c r="L53" i="2" s="1"/>
  <c r="L42" i="2"/>
  <c r="L40" i="2"/>
  <c r="L55" i="2" s="1"/>
  <c r="K53" i="2"/>
  <c r="K61" i="2" l="1"/>
  <c r="T57" i="2"/>
  <c r="T46" i="2"/>
  <c r="L57" i="2"/>
  <c r="L61" i="2" s="1"/>
  <c r="L46" i="2"/>
  <c r="T61" i="2"/>
  <c r="U59" i="2"/>
  <c r="V44" i="2"/>
  <c r="U25" i="2"/>
  <c r="V68" i="2"/>
  <c r="U67" i="2"/>
  <c r="Q51" i="2"/>
  <c r="R48" i="2"/>
  <c r="R50" i="2"/>
  <c r="R49" i="2"/>
  <c r="W12" i="2"/>
  <c r="W14" i="2" s="1"/>
  <c r="W15" i="2" s="1"/>
  <c r="W23" i="2" s="1"/>
  <c r="V14" i="2"/>
  <c r="V15" i="2" s="1"/>
  <c r="V23" i="2" s="1"/>
  <c r="N82" i="6"/>
  <c r="N42" i="6"/>
  <c r="N55" i="6" s="1"/>
  <c r="T41" i="2"/>
  <c r="T56" i="2" s="1"/>
  <c r="N28" i="6"/>
  <c r="N39" i="6"/>
  <c r="N45" i="6" s="1"/>
  <c r="O23" i="6"/>
  <c r="O40" i="6" s="1"/>
  <c r="O53" i="6" s="1"/>
  <c r="O26" i="6"/>
  <c r="O43" i="6" s="1"/>
  <c r="O56" i="6" s="1"/>
  <c r="O27" i="6"/>
  <c r="O44" i="6" s="1"/>
  <c r="O57" i="6" s="1"/>
  <c r="O24" i="6"/>
  <c r="O41" i="6" s="1"/>
  <c r="O54" i="6" s="1"/>
  <c r="O22" i="6"/>
  <c r="O25" i="6"/>
  <c r="P27" i="6"/>
  <c r="P44" i="6" s="1"/>
  <c r="P57" i="6" s="1"/>
  <c r="P26" i="6"/>
  <c r="P24" i="6"/>
  <c r="P41" i="6" s="1"/>
  <c r="P54" i="6" s="1"/>
  <c r="P22" i="6"/>
  <c r="P25" i="6"/>
  <c r="P23" i="6"/>
  <c r="P40" i="6" s="1"/>
  <c r="P53" i="6" s="1"/>
  <c r="T38" i="2"/>
  <c r="S53" i="2"/>
  <c r="U19" i="2"/>
  <c r="U40" i="2" s="1"/>
  <c r="U55" i="2" s="1"/>
  <c r="U18" i="2"/>
  <c r="U22" i="2"/>
  <c r="U43" i="2" s="1"/>
  <c r="U58" i="2" s="1"/>
  <c r="U17" i="2"/>
  <c r="U21" i="2"/>
  <c r="U42" i="2" s="1"/>
  <c r="U20" i="2"/>
  <c r="T39" i="2"/>
  <c r="T54" i="2" s="1"/>
  <c r="L56" i="2"/>
  <c r="S9" i="2"/>
  <c r="R8" i="2"/>
  <c r="I50" i="6"/>
  <c r="L57" i="6"/>
  <c r="J58" i="6"/>
  <c r="L39" i="6"/>
  <c r="L52" i="6" s="1"/>
  <c r="L28" i="6"/>
  <c r="L42" i="6"/>
  <c r="L55" i="6" s="1"/>
  <c r="L82" i="6"/>
  <c r="M23" i="6"/>
  <c r="M40" i="6" s="1"/>
  <c r="M53" i="6" s="1"/>
  <c r="M27" i="6"/>
  <c r="M44" i="6" s="1"/>
  <c r="M57" i="6" s="1"/>
  <c r="M24" i="6"/>
  <c r="M41" i="6" s="1"/>
  <c r="M54" i="6" s="1"/>
  <c r="M26" i="6"/>
  <c r="M43" i="6" s="1"/>
  <c r="M56" i="6" s="1"/>
  <c r="M25" i="6"/>
  <c r="M22" i="6"/>
  <c r="L43" i="6"/>
  <c r="L56" i="6" s="1"/>
  <c r="K45" i="6"/>
  <c r="K52" i="6"/>
  <c r="J47" i="6"/>
  <c r="J49" i="6"/>
  <c r="J48" i="6"/>
  <c r="K49" i="2"/>
  <c r="K48" i="2"/>
  <c r="K50" i="2"/>
  <c r="M39" i="2"/>
  <c r="J51" i="2"/>
  <c r="M41" i="2"/>
  <c r="M56" i="2" s="1"/>
  <c r="M38" i="2"/>
  <c r="M40" i="2"/>
  <c r="M43" i="2"/>
  <c r="M58" i="2" s="1"/>
  <c r="M42" i="2"/>
  <c r="M46" i="2" s="1"/>
  <c r="U57" i="2" l="1"/>
  <c r="U46" i="2"/>
  <c r="U61" i="2"/>
  <c r="V25" i="2"/>
  <c r="V59" i="2"/>
  <c r="W44" i="2"/>
  <c r="X44" i="2" s="1"/>
  <c r="W59" i="2"/>
  <c r="X23" i="2"/>
  <c r="W68" i="2"/>
  <c r="W67" i="2" s="1"/>
  <c r="V67" i="2"/>
  <c r="T48" i="2"/>
  <c r="T53" i="2"/>
  <c r="U39" i="2"/>
  <c r="U54" i="2" s="1"/>
  <c r="N52" i="6"/>
  <c r="N58" i="6" s="1"/>
  <c r="V22" i="2"/>
  <c r="V43" i="2" s="1"/>
  <c r="V58" i="2" s="1"/>
  <c r="V20" i="2"/>
  <c r="V17" i="2"/>
  <c r="V21" i="2"/>
  <c r="V42" i="2" s="1"/>
  <c r="V19" i="2"/>
  <c r="V18" i="2"/>
  <c r="N49" i="6"/>
  <c r="N48" i="6"/>
  <c r="N47" i="6"/>
  <c r="N50" i="6" s="1"/>
  <c r="W18" i="2"/>
  <c r="W17" i="2"/>
  <c r="W22" i="2"/>
  <c r="W20" i="2"/>
  <c r="W19" i="2"/>
  <c r="W21" i="2"/>
  <c r="X21" i="2" s="1"/>
  <c r="U38" i="2"/>
  <c r="O82" i="6"/>
  <c r="O42" i="6"/>
  <c r="O55" i="6" s="1"/>
  <c r="S50" i="2"/>
  <c r="S49" i="2"/>
  <c r="S48" i="2"/>
  <c r="P82" i="6"/>
  <c r="P42" i="6"/>
  <c r="P55" i="6" s="1"/>
  <c r="O28" i="6"/>
  <c r="O39" i="6"/>
  <c r="O45" i="6" s="1"/>
  <c r="P39" i="6"/>
  <c r="P28" i="6"/>
  <c r="R51" i="2"/>
  <c r="U41" i="2"/>
  <c r="U56" i="2" s="1"/>
  <c r="P43" i="6"/>
  <c r="P56" i="6" s="1"/>
  <c r="M55" i="2"/>
  <c r="M54" i="2"/>
  <c r="M57" i="2"/>
  <c r="M61" i="2" s="1"/>
  <c r="S8" i="2"/>
  <c r="T9" i="2"/>
  <c r="K58" i="6"/>
  <c r="Q22" i="6"/>
  <c r="L58" i="6"/>
  <c r="K48" i="6"/>
  <c r="K47" i="6"/>
  <c r="K49" i="6"/>
  <c r="R27" i="6"/>
  <c r="Q27" i="6"/>
  <c r="R22" i="6"/>
  <c r="M39" i="6"/>
  <c r="M28" i="6"/>
  <c r="L45" i="6"/>
  <c r="Q24" i="6"/>
  <c r="R24" i="6"/>
  <c r="Q26" i="6"/>
  <c r="R26" i="6"/>
  <c r="Q25" i="6"/>
  <c r="Q82" i="6" s="1"/>
  <c r="R25" i="6"/>
  <c r="R82" i="6" s="1"/>
  <c r="M42" i="6"/>
  <c r="M55" i="6" s="1"/>
  <c r="M82" i="6"/>
  <c r="J50" i="6"/>
  <c r="Q23" i="6"/>
  <c r="R23" i="6"/>
  <c r="K51" i="2"/>
  <c r="L48" i="2"/>
  <c r="L49" i="2"/>
  <c r="L50" i="2"/>
  <c r="M53" i="2"/>
  <c r="V57" i="2" l="1"/>
  <c r="V61" i="2" s="1"/>
  <c r="V46" i="2"/>
  <c r="X59" i="2"/>
  <c r="S51" i="2"/>
  <c r="T50" i="2"/>
  <c r="T49" i="2"/>
  <c r="X22" i="2"/>
  <c r="O52" i="6"/>
  <c r="O58" i="6" s="1"/>
  <c r="P52" i="6"/>
  <c r="P58" i="6" s="1"/>
  <c r="P45" i="6"/>
  <c r="W40" i="2"/>
  <c r="V39" i="2"/>
  <c r="W41" i="2"/>
  <c r="W56" i="2" s="1"/>
  <c r="V40" i="2"/>
  <c r="V55" i="2" s="1"/>
  <c r="W43" i="2"/>
  <c r="X43" i="2" s="1"/>
  <c r="W42" i="2"/>
  <c r="W46" i="2" s="1"/>
  <c r="X19" i="2"/>
  <c r="O47" i="6"/>
  <c r="O50" i="6" s="1"/>
  <c r="O48" i="6"/>
  <c r="O49" i="6"/>
  <c r="W38" i="2"/>
  <c r="W53" i="2" s="1"/>
  <c r="V38" i="2"/>
  <c r="V53" i="2" s="1"/>
  <c r="X18" i="2"/>
  <c r="W39" i="2"/>
  <c r="W54" i="2" s="1"/>
  <c r="V41" i="2"/>
  <c r="X20" i="2"/>
  <c r="U53" i="2"/>
  <c r="X17" i="2"/>
  <c r="T8" i="2"/>
  <c r="U9" i="2"/>
  <c r="K50" i="6"/>
  <c r="M45" i="6"/>
  <c r="M47" i="6" s="1"/>
  <c r="R28" i="6"/>
  <c r="Q28" i="6"/>
  <c r="R39" i="6"/>
  <c r="Q39" i="6"/>
  <c r="R53" i="6"/>
  <c r="Q53" i="6"/>
  <c r="R40" i="6"/>
  <c r="Q40" i="6"/>
  <c r="R42" i="6"/>
  <c r="Q42" i="6"/>
  <c r="R55" i="6"/>
  <c r="L49" i="6"/>
  <c r="L48" i="6"/>
  <c r="L47" i="6"/>
  <c r="R44" i="6"/>
  <c r="Q44" i="6"/>
  <c r="R43" i="6"/>
  <c r="Q43" i="6"/>
  <c r="Q41" i="6"/>
  <c r="R41" i="6"/>
  <c r="M52" i="6"/>
  <c r="M58" i="6" s="1"/>
  <c r="M48" i="2"/>
  <c r="M50" i="2"/>
  <c r="M49" i="2"/>
  <c r="L51" i="2"/>
  <c r="X41" i="2" l="1"/>
  <c r="X39" i="2"/>
  <c r="X53" i="2"/>
  <c r="T51" i="2"/>
  <c r="X40" i="2"/>
  <c r="V54" i="2"/>
  <c r="X54" i="2" s="1"/>
  <c r="V56" i="2"/>
  <c r="W58" i="2"/>
  <c r="X58" i="2" s="1"/>
  <c r="X38" i="2"/>
  <c r="W55" i="2"/>
  <c r="P48" i="6"/>
  <c r="P49" i="6"/>
  <c r="P47" i="6"/>
  <c r="P50" i="6" s="1"/>
  <c r="U50" i="2"/>
  <c r="U48" i="2"/>
  <c r="U49" i="2"/>
  <c r="W57" i="2"/>
  <c r="X42" i="2"/>
  <c r="X46" i="2" s="1"/>
  <c r="U8" i="2"/>
  <c r="V9" i="2"/>
  <c r="M49" i="6"/>
  <c r="L50" i="6"/>
  <c r="M48" i="6"/>
  <c r="Q55" i="6"/>
  <c r="R54" i="6"/>
  <c r="Q54" i="6"/>
  <c r="R45" i="6"/>
  <c r="Q56" i="6"/>
  <c r="R56" i="6"/>
  <c r="Q52" i="6"/>
  <c r="R52" i="6"/>
  <c r="Q45" i="6"/>
  <c r="Q57" i="6"/>
  <c r="R57" i="6"/>
  <c r="M51" i="2"/>
  <c r="X57" i="2" l="1"/>
  <c r="X61" i="2" s="1"/>
  <c r="W61" i="2"/>
  <c r="X56" i="2"/>
  <c r="W50" i="2"/>
  <c r="W49" i="2"/>
  <c r="W48" i="2"/>
  <c r="X55" i="2"/>
  <c r="U51" i="2"/>
  <c r="V48" i="2"/>
  <c r="V50" i="2"/>
  <c r="V49" i="2"/>
  <c r="W9" i="2"/>
  <c r="W8" i="2" s="1"/>
  <c r="V8" i="2"/>
  <c r="M50" i="6"/>
  <c r="R58" i="6"/>
  <c r="Q58" i="6"/>
  <c r="R49" i="6"/>
  <c r="Q49" i="6"/>
  <c r="Q47" i="6"/>
  <c r="R47" i="6"/>
  <c r="Q48" i="6"/>
  <c r="R48" i="6"/>
  <c r="X49" i="2" l="1"/>
  <c r="X50" i="2"/>
  <c r="W51" i="2"/>
  <c r="V51" i="2"/>
  <c r="X51" i="2" s="1"/>
  <c r="X48" i="2"/>
  <c r="Q50" i="6"/>
  <c r="R50" i="6"/>
</calcChain>
</file>

<file path=xl/sharedStrings.xml><?xml version="1.0" encoding="utf-8"?>
<sst xmlns="http://schemas.openxmlformats.org/spreadsheetml/2006/main" count="189" uniqueCount="90">
  <si>
    <t>Tax Year</t>
  </si>
  <si>
    <t>Totals</t>
  </si>
  <si>
    <t xml:space="preserve">Redevelopment Agency of South Salt Lake </t>
  </si>
  <si>
    <t>ASSUMPTIONS:</t>
  </si>
  <si>
    <t>Discount Rate</t>
  </si>
  <si>
    <t>Assessed Value Growth Rate</t>
  </si>
  <si>
    <t>Base Year Value</t>
  </si>
  <si>
    <t>PROPERTY TAX ANALYSIS:</t>
  </si>
  <si>
    <t>Payment Year</t>
  </si>
  <si>
    <t>TOTALS</t>
  </si>
  <si>
    <t>NPV</t>
  </si>
  <si>
    <t>Cumulative Taxable Value</t>
  </si>
  <si>
    <t>Year</t>
  </si>
  <si>
    <t xml:space="preserve">     Total Assessed Value:</t>
  </si>
  <si>
    <t>TOTAL TAXABLE VALUE:</t>
  </si>
  <si>
    <t>TAX RATE &amp; INCREMENT ANALYSIS:</t>
  </si>
  <si>
    <t>2022 Rates</t>
  </si>
  <si>
    <t>Salt Lake County</t>
  </si>
  <si>
    <t>Salt Lake County Library</t>
  </si>
  <si>
    <t>Granite School District</t>
  </si>
  <si>
    <t>South Salt Lake City</t>
  </si>
  <si>
    <t>South Salt Lake Valley Mosquito Abatement District</t>
  </si>
  <si>
    <t>Central Utah Water Conservancy District</t>
  </si>
  <si>
    <t>TOTAL INCREMENTAL TAX REVENUE:</t>
  </si>
  <si>
    <t>PROJECT AREA BUDGET</t>
  </si>
  <si>
    <t>Sources of Funds:</t>
  </si>
  <si>
    <t>Property Tax Participation Rate for Budget</t>
  </si>
  <si>
    <t>Property Tax Increment for Budget</t>
  </si>
  <si>
    <t>Total Property Tax Increment for Budget:</t>
  </si>
  <si>
    <t>Uses of Tax Increment Funds:</t>
  </si>
  <si>
    <t>Agency Administration and Operations</t>
  </si>
  <si>
    <t>Redevelopment Activities</t>
  </si>
  <si>
    <t>Total Uses</t>
  </si>
  <si>
    <t>REMAINING TAX REVENUES FOR TAXING ENTITIES</t>
  </si>
  <si>
    <t>Total</t>
  </si>
  <si>
    <t>BASE YEAR TAXES</t>
  </si>
  <si>
    <t xml:space="preserve">Market Station URA </t>
  </si>
  <si>
    <t>Porsche Development</t>
  </si>
  <si>
    <t>Porsche Development TI Budget</t>
  </si>
  <si>
    <t>Dealership</t>
  </si>
  <si>
    <t>Alliance Residential</t>
  </si>
  <si>
    <t>Parcel#</t>
  </si>
  <si>
    <t>Site Description</t>
  </si>
  <si>
    <t>Porsche</t>
  </si>
  <si>
    <t>Acres</t>
  </si>
  <si>
    <t>Sq. Ft.</t>
  </si>
  <si>
    <t>$/Sq. Ft.</t>
  </si>
  <si>
    <t>Tesla</t>
  </si>
  <si>
    <t>Average</t>
  </si>
  <si>
    <t>Difference</t>
  </si>
  <si>
    <t>Auto Dealership</t>
  </si>
  <si>
    <t>Building Value</t>
  </si>
  <si>
    <t>Mercedes Draper</t>
  </si>
  <si>
    <t>Lexus Murray</t>
  </si>
  <si>
    <t>Porsche Lehi</t>
  </si>
  <si>
    <t>SLC Volvo/Ferrari</t>
  </si>
  <si>
    <t>Porsche Building Value (30% Above Average)</t>
  </si>
  <si>
    <t xml:space="preserve">Affordable Housing </t>
  </si>
  <si>
    <t>Primary Residential Taxable Value</t>
  </si>
  <si>
    <t>Projected Apartment Units</t>
  </si>
  <si>
    <t>SALES TAX ANALYSIS:</t>
  </si>
  <si>
    <t>Town Option</t>
  </si>
  <si>
    <t xml:space="preserve">Local Option </t>
  </si>
  <si>
    <t>Assumptions</t>
  </si>
  <si>
    <t>Gross Taxable Sales</t>
  </si>
  <si>
    <t>Sales Tax Summary</t>
  </si>
  <si>
    <t>Local Option Sales Tax Revenue</t>
  </si>
  <si>
    <t>Town Option Sales Tax Revenue</t>
  </si>
  <si>
    <t>Total Sales Tax Revenue</t>
  </si>
  <si>
    <t>Total City Revenue</t>
  </si>
  <si>
    <t>2022 Market Station Incremental Value</t>
  </si>
  <si>
    <t>Raising Cane's</t>
  </si>
  <si>
    <t>28 E. 2100 S. Future Commercial</t>
  </si>
  <si>
    <t xml:space="preserve">Pad North of Raising Cane's </t>
  </si>
  <si>
    <t>Annual Sales Growth</t>
  </si>
  <si>
    <t>PID</t>
  </si>
  <si>
    <t>ROW</t>
  </si>
  <si>
    <t>Glazing &amp; Façade</t>
  </si>
  <si>
    <t>High Water Table</t>
  </si>
  <si>
    <t>Site Work (Infill)</t>
  </si>
  <si>
    <t>Impediment</t>
  </si>
  <si>
    <t>Porsche Value</t>
  </si>
  <si>
    <t>Millcreek City</t>
  </si>
  <si>
    <t>Development Activities</t>
  </si>
  <si>
    <t>Adjacent project (40,000 SF Office)</t>
  </si>
  <si>
    <t>Mt. Olympus Improvement District</t>
  </si>
  <si>
    <t xml:space="preserve">Unified Fire Service Area </t>
  </si>
  <si>
    <t xml:space="preserve">Sales Tax Participation </t>
  </si>
  <si>
    <t>2025-2045</t>
  </si>
  <si>
    <t>TOTAL OF PROPERTY &amp; SALES TAX COMBINED TO PORSCHE: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</si>
</sst>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  <numFmt numFmtId="167" formatCode="&quot;$&quot;#,##0"/>
    <numFmt numFmtId="168" formatCode="&quot;Year&quot;\ ##"/>
    <numFmt numFmtId="169" formatCode="_(* #,##0.000000_);_(* \(#,##0.000000\);_(* &quot;-&quot;??_);_(@_)"/>
    <numFmt numFmtId="170" formatCode="_(&quot;$&quot;* #,##0.00000_);_(&quot;$&quot;* \(#,##0.00000\);_(&quot;$&quot;* &quot;-&quot;??_);_(@_)"/>
    <numFmt numFmtId="171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8"/>
      <name val="Arial"/>
      <family val="2"/>
    </font>
    <font>
      <b/>
      <i/>
      <u/>
      <sz val="8"/>
      <color rgb="FFFF000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u/>
      <sz val="8"/>
      <name val="Arial"/>
      <family val="2"/>
    </font>
    <font>
      <i/>
      <sz val="8"/>
      <name val="Arial"/>
      <family val="2"/>
    </font>
    <font>
      <i/>
      <sz val="8"/>
      <color theme="0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i/>
      <u/>
      <sz val="8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344240"/>
        <bgColor indexed="64"/>
      </patternFill>
    </fill>
    <fill>
      <patternFill patternType="solid">
        <fgColor rgb="FFBBC9C7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3">
    <xf numFmtId="0" fontId="0" fillId="0" borderId="0" xfId="0"/>
    <xf numFmtId="164" fontId="0" fillId="0" borderId="0" xfId="0" applyNumberFormat="1"/>
    <xf numFmtId="44" fontId="0" fillId="0" borderId="0" xfId="0" applyNumberFormat="1"/>
    <xf numFmtId="164" fontId="0" fillId="0" borderId="0" xfId="1" applyNumberFormat="1" applyFont="1"/>
    <xf numFmtId="0" fontId="2" fillId="0" borderId="0" xfId="0" applyFont="1"/>
    <xf numFmtId="166" fontId="2" fillId="0" borderId="0" xfId="3" applyNumberFormat="1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43" fontId="4" fillId="0" borderId="0" xfId="3" applyFont="1"/>
    <xf numFmtId="0" fontId="7" fillId="0" borderId="0" xfId="0" applyFont="1" applyAlignment="1">
      <alignment horizontal="right"/>
    </xf>
    <xf numFmtId="0" fontId="8" fillId="0" borderId="0" xfId="0" applyFont="1"/>
    <xf numFmtId="0" fontId="4" fillId="0" borderId="5" xfId="0" applyFont="1" applyBorder="1"/>
    <xf numFmtId="165" fontId="4" fillId="0" borderId="6" xfId="0" applyNumberFormat="1" applyFont="1" applyBorder="1"/>
    <xf numFmtId="43" fontId="4" fillId="0" borderId="0" xfId="3" applyFont="1" applyBorder="1"/>
    <xf numFmtId="0" fontId="9" fillId="0" borderId="0" xfId="0" applyFont="1"/>
    <xf numFmtId="43" fontId="4" fillId="0" borderId="0" xfId="0" applyNumberFormat="1" applyFont="1"/>
    <xf numFmtId="0" fontId="10" fillId="0" borderId="0" xfId="0" applyFont="1"/>
    <xf numFmtId="166" fontId="4" fillId="0" borderId="0" xfId="0" applyNumberFormat="1" applyFont="1"/>
    <xf numFmtId="0" fontId="4" fillId="0" borderId="7" xfId="0" applyFont="1" applyBorder="1"/>
    <xf numFmtId="0" fontId="4" fillId="0" borderId="8" xfId="0" applyFont="1" applyBorder="1"/>
    <xf numFmtId="167" fontId="4" fillId="0" borderId="9" xfId="0" applyNumberFormat="1" applyFont="1" applyBorder="1"/>
    <xf numFmtId="166" fontId="4" fillId="0" borderId="0" xfId="3" applyNumberFormat="1" applyFont="1"/>
    <xf numFmtId="0" fontId="11" fillId="5" borderId="11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5" borderId="11" xfId="0" applyFont="1" applyFill="1" applyBorder="1"/>
    <xf numFmtId="0" fontId="4" fillId="5" borderId="12" xfId="0" applyFont="1" applyFill="1" applyBorder="1"/>
    <xf numFmtId="0" fontId="12" fillId="5" borderId="2" xfId="0" applyFont="1" applyFill="1" applyBorder="1" applyAlignment="1">
      <alignment horizontal="center"/>
    </xf>
    <xf numFmtId="0" fontId="13" fillId="5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6" fillId="5" borderId="13" xfId="0" applyFont="1" applyFill="1" applyBorder="1"/>
    <xf numFmtId="0" fontId="11" fillId="5" borderId="0" xfId="0" applyFont="1" applyFill="1" applyAlignment="1">
      <alignment horizontal="center"/>
    </xf>
    <xf numFmtId="168" fontId="4" fillId="5" borderId="0" xfId="0" applyNumberFormat="1" applyFont="1" applyFill="1" applyAlignment="1">
      <alignment horizontal="center"/>
    </xf>
    <xf numFmtId="0" fontId="4" fillId="5" borderId="0" xfId="0" applyFont="1" applyFill="1"/>
    <xf numFmtId="0" fontId="4" fillId="5" borderId="6" xfId="0" applyFont="1" applyFill="1" applyBorder="1"/>
    <xf numFmtId="0" fontId="4" fillId="0" borderId="13" xfId="0" applyFont="1" applyBorder="1"/>
    <xf numFmtId="0" fontId="6" fillId="0" borderId="0" xfId="0" applyFont="1"/>
    <xf numFmtId="43" fontId="4" fillId="0" borderId="0" xfId="3" applyFont="1" applyFill="1" applyBorder="1"/>
    <xf numFmtId="166" fontId="4" fillId="0" borderId="0" xfId="3" applyNumberFormat="1" applyFont="1" applyFill="1" applyBorder="1"/>
    <xf numFmtId="0" fontId="6" fillId="0" borderId="13" xfId="0" applyFont="1" applyBorder="1"/>
    <xf numFmtId="166" fontId="6" fillId="0" borderId="0" xfId="3" applyNumberFormat="1" applyFont="1" applyFill="1" applyBorder="1"/>
    <xf numFmtId="0" fontId="6" fillId="3" borderId="14" xfId="0" applyFont="1" applyFill="1" applyBorder="1"/>
    <xf numFmtId="0" fontId="6" fillId="3" borderId="3" xfId="0" applyFont="1" applyFill="1" applyBorder="1"/>
    <xf numFmtId="166" fontId="6" fillId="3" borderId="3" xfId="0" applyNumberFormat="1" applyFont="1" applyFill="1" applyBorder="1"/>
    <xf numFmtId="0" fontId="14" fillId="0" borderId="0" xfId="0" applyFont="1"/>
    <xf numFmtId="0" fontId="4" fillId="0" borderId="13" xfId="0" applyFont="1" applyBorder="1" applyAlignment="1">
      <alignment horizontal="left" indent="1"/>
    </xf>
    <xf numFmtId="169" fontId="15" fillId="0" borderId="13" xfId="3" applyNumberFormat="1" applyFont="1" applyFill="1" applyBorder="1" applyAlignment="1"/>
    <xf numFmtId="166" fontId="4" fillId="0" borderId="5" xfId="3" applyNumberFormat="1" applyFont="1" applyBorder="1"/>
    <xf numFmtId="166" fontId="4" fillId="0" borderId="6" xfId="3" applyNumberFormat="1" applyFont="1" applyBorder="1"/>
    <xf numFmtId="0" fontId="4" fillId="0" borderId="14" xfId="0" applyFont="1" applyBorder="1" applyAlignment="1">
      <alignment horizontal="left"/>
    </xf>
    <xf numFmtId="169" fontId="15" fillId="0" borderId="14" xfId="3" applyNumberFormat="1" applyFont="1" applyFill="1" applyBorder="1" applyAlignment="1"/>
    <xf numFmtId="166" fontId="4" fillId="0" borderId="3" xfId="3" applyNumberFormat="1" applyFont="1" applyFill="1" applyBorder="1"/>
    <xf numFmtId="166" fontId="6" fillId="0" borderId="2" xfId="0" applyNumberFormat="1" applyFont="1" applyBorder="1"/>
    <xf numFmtId="166" fontId="6" fillId="0" borderId="4" xfId="0" applyNumberFormat="1" applyFont="1" applyBorder="1"/>
    <xf numFmtId="0" fontId="6" fillId="5" borderId="14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0" fontId="16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9" fontId="15" fillId="0" borderId="0" xfId="2" applyFont="1" applyBorder="1"/>
    <xf numFmtId="9" fontId="4" fillId="0" borderId="0" xfId="2" applyFont="1" applyBorder="1"/>
    <xf numFmtId="9" fontId="4" fillId="0" borderId="6" xfId="2" applyFont="1" applyBorder="1"/>
    <xf numFmtId="9" fontId="4" fillId="0" borderId="0" xfId="2" applyFont="1" applyFill="1" applyBorder="1"/>
    <xf numFmtId="43" fontId="4" fillId="0" borderId="0" xfId="3" applyFont="1" applyBorder="1" applyAlignment="1">
      <alignment horizontal="right"/>
    </xf>
    <xf numFmtId="44" fontId="6" fillId="0" borderId="5" xfId="1" applyFont="1" applyBorder="1"/>
    <xf numFmtId="166" fontId="6" fillId="0" borderId="6" xfId="3" applyNumberFormat="1" applyFont="1" applyBorder="1"/>
    <xf numFmtId="44" fontId="6" fillId="0" borderId="0" xfId="1" applyFont="1" applyFill="1" applyBorder="1"/>
    <xf numFmtId="170" fontId="6" fillId="0" borderId="0" xfId="0" applyNumberFormat="1" applyFont="1"/>
    <xf numFmtId="0" fontId="6" fillId="0" borderId="14" xfId="0" applyFont="1" applyBorder="1"/>
    <xf numFmtId="0" fontId="6" fillId="0" borderId="3" xfId="0" applyFont="1" applyBorder="1"/>
    <xf numFmtId="166" fontId="6" fillId="0" borderId="3" xfId="3" applyNumberFormat="1" applyFont="1" applyBorder="1"/>
    <xf numFmtId="166" fontId="6" fillId="0" borderId="4" xfId="3" applyNumberFormat="1" applyFont="1" applyBorder="1"/>
    <xf numFmtId="166" fontId="6" fillId="0" borderId="0" xfId="0" applyNumberFormat="1" applyFont="1"/>
    <xf numFmtId="0" fontId="6" fillId="5" borderId="2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13" xfId="0" applyFont="1" applyBorder="1" applyAlignment="1">
      <alignment wrapText="1"/>
    </xf>
    <xf numFmtId="165" fontId="15" fillId="0" borderId="0" xfId="2" applyNumberFormat="1" applyFont="1" applyBorder="1" applyAlignment="1">
      <alignment horizontal="right"/>
    </xf>
    <xf numFmtId="166" fontId="4" fillId="0" borderId="0" xfId="3" applyNumberFormat="1" applyFont="1" applyBorder="1"/>
    <xf numFmtId="166" fontId="6" fillId="6" borderId="5" xfId="0" applyNumberFormat="1" applyFont="1" applyFill="1" applyBorder="1"/>
    <xf numFmtId="166" fontId="6" fillId="6" borderId="6" xfId="3" applyNumberFormat="1" applyFont="1" applyFill="1" applyBorder="1"/>
    <xf numFmtId="166" fontId="4" fillId="0" borderId="3" xfId="3" applyNumberFormat="1" applyFont="1" applyBorder="1"/>
    <xf numFmtId="166" fontId="6" fillId="6" borderId="2" xfId="0" applyNumberFormat="1" applyFont="1" applyFill="1" applyBorder="1"/>
    <xf numFmtId="166" fontId="6" fillId="6" borderId="4" xfId="3" applyNumberFormat="1" applyFont="1" applyFill="1" applyBorder="1"/>
    <xf numFmtId="0" fontId="4" fillId="5" borderId="14" xfId="0" applyFont="1" applyFill="1" applyBorder="1"/>
    <xf numFmtId="166" fontId="6" fillId="0" borderId="5" xfId="0" applyNumberFormat="1" applyFont="1" applyBorder="1"/>
    <xf numFmtId="166" fontId="4" fillId="0" borderId="3" xfId="0" applyNumberFormat="1" applyFont="1" applyBorder="1"/>
    <xf numFmtId="0" fontId="2" fillId="0" borderId="5" xfId="0" applyFont="1" applyBorder="1"/>
    <xf numFmtId="167" fontId="2" fillId="0" borderId="0" xfId="0" applyNumberFormat="1" applyFont="1"/>
    <xf numFmtId="166" fontId="2" fillId="0" borderId="0" xfId="3" applyNumberFormat="1" applyFont="1" applyBorder="1"/>
    <xf numFmtId="171" fontId="2" fillId="0" borderId="6" xfId="0" applyNumberFormat="1" applyFont="1" applyBorder="1"/>
    <xf numFmtId="0" fontId="17" fillId="7" borderId="2" xfId="0" applyFont="1" applyFill="1" applyBorder="1"/>
    <xf numFmtId="0" fontId="18" fillId="7" borderId="3" xfId="0" applyFont="1" applyFill="1" applyBorder="1"/>
    <xf numFmtId="0" fontId="18" fillId="7" borderId="4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8" borderId="2" xfId="0" applyFont="1" applyFill="1" applyBorder="1"/>
    <xf numFmtId="0" fontId="2" fillId="8" borderId="3" xfId="0" applyFont="1" applyFill="1" applyBorder="1"/>
    <xf numFmtId="167" fontId="2" fillId="8" borderId="3" xfId="0" applyNumberFormat="1" applyFont="1" applyFill="1" applyBorder="1"/>
    <xf numFmtId="171" fontId="2" fillId="8" borderId="4" xfId="0" applyNumberFormat="1" applyFont="1" applyFill="1" applyBorder="1"/>
    <xf numFmtId="166" fontId="2" fillId="0" borderId="14" xfId="3" applyNumberFormat="1" applyFont="1" applyBorder="1"/>
    <xf numFmtId="166" fontId="3" fillId="0" borderId="14" xfId="3" applyNumberFormat="1" applyFont="1" applyBorder="1"/>
    <xf numFmtId="171" fontId="3" fillId="0" borderId="4" xfId="0" applyNumberFormat="1" applyFont="1" applyBorder="1"/>
    <xf numFmtId="0" fontId="18" fillId="0" borderId="0" xfId="0" applyFont="1"/>
    <xf numFmtId="171" fontId="2" fillId="0" borderId="0" xfId="0" applyNumberFormat="1" applyFont="1"/>
    <xf numFmtId="166" fontId="2" fillId="8" borderId="3" xfId="3" applyNumberFormat="1" applyFont="1" applyFill="1" applyBorder="1"/>
    <xf numFmtId="166" fontId="0" fillId="0" borderId="0" xfId="3" applyNumberFormat="1" applyFont="1"/>
    <xf numFmtId="0" fontId="2" fillId="0" borderId="2" xfId="0" applyFont="1" applyBorder="1"/>
    <xf numFmtId="1" fontId="4" fillId="0" borderId="6" xfId="0" applyNumberFormat="1" applyFont="1" applyBorder="1"/>
    <xf numFmtId="0" fontId="16" fillId="7" borderId="14" xfId="0" applyFont="1" applyFill="1" applyBorder="1"/>
    <xf numFmtId="0" fontId="12" fillId="7" borderId="3" xfId="0" applyFont="1" applyFill="1" applyBorder="1" applyAlignment="1">
      <alignment horizontal="center"/>
    </xf>
    <xf numFmtId="168" fontId="13" fillId="7" borderId="3" xfId="0" applyNumberFormat="1" applyFont="1" applyFill="1" applyBorder="1" applyAlignment="1">
      <alignment horizontal="center"/>
    </xf>
    <xf numFmtId="0" fontId="16" fillId="7" borderId="2" xfId="0" applyFont="1" applyFill="1" applyBorder="1"/>
    <xf numFmtId="0" fontId="16" fillId="7" borderId="3" xfId="0" applyFont="1" applyFill="1" applyBorder="1"/>
    <xf numFmtId="0" fontId="16" fillId="7" borderId="4" xfId="0" applyFont="1" applyFill="1" applyBorder="1"/>
    <xf numFmtId="0" fontId="13" fillId="7" borderId="14" xfId="0" applyFont="1" applyFill="1" applyBorder="1"/>
    <xf numFmtId="0" fontId="13" fillId="7" borderId="14" xfId="0" applyFont="1" applyFill="1" applyBorder="1" applyAlignment="1">
      <alignment horizontal="center"/>
    </xf>
    <xf numFmtId="0" fontId="13" fillId="7" borderId="3" xfId="0" applyFont="1" applyFill="1" applyBorder="1"/>
    <xf numFmtId="0" fontId="13" fillId="7" borderId="2" xfId="0" applyFont="1" applyFill="1" applyBorder="1" applyAlignment="1">
      <alignment horizontal="center"/>
    </xf>
    <xf numFmtId="0" fontId="13" fillId="7" borderId="4" xfId="0" applyFont="1" applyFill="1" applyBorder="1" applyAlignment="1">
      <alignment horizontal="center"/>
    </xf>
    <xf numFmtId="0" fontId="19" fillId="7" borderId="14" xfId="0" applyFont="1" applyFill="1" applyBorder="1"/>
    <xf numFmtId="166" fontId="13" fillId="7" borderId="3" xfId="3" applyNumberFormat="1" applyFont="1" applyFill="1" applyBorder="1"/>
    <xf numFmtId="166" fontId="13" fillId="7" borderId="3" xfId="0" applyNumberFormat="1" applyFont="1" applyFill="1" applyBorder="1"/>
    <xf numFmtId="166" fontId="13" fillId="7" borderId="4" xfId="0" applyNumberFormat="1" applyFont="1" applyFill="1" applyBorder="1"/>
    <xf numFmtId="0" fontId="19" fillId="7" borderId="3" xfId="0" applyFont="1" applyFill="1" applyBorder="1"/>
    <xf numFmtId="0" fontId="13" fillId="7" borderId="3" xfId="0" applyFont="1" applyFill="1" applyBorder="1" applyAlignment="1">
      <alignment horizontal="center"/>
    </xf>
    <xf numFmtId="166" fontId="6" fillId="0" borderId="0" xfId="3" applyNumberFormat="1" applyFont="1" applyBorder="1"/>
    <xf numFmtId="0" fontId="13" fillId="7" borderId="15" xfId="0" applyFont="1" applyFill="1" applyBorder="1"/>
    <xf numFmtId="0" fontId="13" fillId="7" borderId="12" xfId="0" applyFont="1" applyFill="1" applyBorder="1"/>
    <xf numFmtId="10" fontId="4" fillId="0" borderId="6" xfId="2" applyNumberFormat="1" applyFont="1" applyBorder="1"/>
    <xf numFmtId="10" fontId="4" fillId="0" borderId="9" xfId="2" applyNumberFormat="1" applyFont="1" applyBorder="1"/>
    <xf numFmtId="0" fontId="6" fillId="0" borderId="2" xfId="0" applyFont="1" applyBorder="1"/>
    <xf numFmtId="166" fontId="4" fillId="0" borderId="2" xfId="0" applyNumberFormat="1" applyFont="1" applyBorder="1"/>
    <xf numFmtId="166" fontId="4" fillId="0" borderId="4" xfId="3" applyNumberFormat="1" applyFont="1" applyBorder="1"/>
    <xf numFmtId="166" fontId="4" fillId="0" borderId="15" xfId="3" applyNumberFormat="1" applyFont="1" applyBorder="1"/>
    <xf numFmtId="166" fontId="4" fillId="0" borderId="12" xfId="3" applyNumberFormat="1" applyFont="1" applyBorder="1"/>
    <xf numFmtId="166" fontId="6" fillId="0" borderId="2" xfId="3" applyNumberFormat="1" applyFont="1" applyBorder="1"/>
    <xf numFmtId="0" fontId="4" fillId="0" borderId="2" xfId="0" applyFont="1" applyBorder="1"/>
    <xf numFmtId="0" fontId="4" fillId="0" borderId="3" xfId="0" applyFont="1" applyBorder="1"/>
    <xf numFmtId="43" fontId="2" fillId="0" borderId="0" xfId="0" applyNumberFormat="1" applyFont="1"/>
    <xf numFmtId="10" fontId="4" fillId="0" borderId="0" xfId="0" applyNumberFormat="1" applyFont="1"/>
    <xf numFmtId="166" fontId="0" fillId="0" borderId="0" xfId="0" applyNumberFormat="1"/>
    <xf numFmtId="44" fontId="0" fillId="0" borderId="0" xfId="1" applyFont="1"/>
    <xf numFmtId="0" fontId="6" fillId="4" borderId="2" xfId="0" applyFont="1" applyFill="1" applyBorder="1"/>
    <xf numFmtId="0" fontId="4" fillId="4" borderId="13" xfId="0" applyFont="1" applyFill="1" applyBorder="1"/>
    <xf numFmtId="165" fontId="15" fillId="4" borderId="0" xfId="2" applyNumberFormat="1" applyFont="1" applyFill="1" applyBorder="1" applyAlignment="1">
      <alignment horizontal="right"/>
    </xf>
    <xf numFmtId="166" fontId="4" fillId="4" borderId="0" xfId="3" applyNumberFormat="1" applyFont="1" applyFill="1" applyBorder="1"/>
    <xf numFmtId="0" fontId="4" fillId="4" borderId="0" xfId="0" applyFont="1" applyFill="1"/>
    <xf numFmtId="167" fontId="4" fillId="4" borderId="0" xfId="0" applyNumberFormat="1" applyFont="1" applyFill="1"/>
    <xf numFmtId="171" fontId="4" fillId="4" borderId="0" xfId="0" applyNumberFormat="1" applyFont="1" applyFill="1"/>
    <xf numFmtId="168" fontId="13" fillId="7" borderId="11" xfId="0" applyNumberFormat="1" applyFont="1" applyFill="1" applyBorder="1" applyAlignment="1">
      <alignment horizontal="center"/>
    </xf>
    <xf numFmtId="166" fontId="6" fillId="0" borderId="5" xfId="3" applyNumberFormat="1" applyFont="1" applyBorder="1"/>
    <xf numFmtId="166" fontId="4" fillId="0" borderId="7" xfId="3" applyNumberFormat="1" applyFont="1" applyBorder="1"/>
    <xf numFmtId="0" fontId="16" fillId="7" borderId="10" xfId="0" applyFont="1" applyFill="1" applyBorder="1"/>
    <xf numFmtId="0" fontId="12" fillId="7" borderId="11" xfId="0" applyFont="1" applyFill="1" applyBorder="1" applyAlignment="1">
      <alignment horizontal="center"/>
    </xf>
    <xf numFmtId="0" fontId="4" fillId="4" borderId="14" xfId="0" applyFont="1" applyFill="1" applyBorder="1"/>
    <xf numFmtId="0" fontId="6" fillId="4" borderId="14" xfId="0" applyFont="1" applyFill="1" applyBorder="1"/>
    <xf numFmtId="167" fontId="4" fillId="4" borderId="14" xfId="3" applyNumberFormat="1" applyFont="1" applyFill="1" applyBorder="1"/>
    <xf numFmtId="166" fontId="4" fillId="4" borderId="14" xfId="3" applyNumberFormat="1" applyFont="1" applyFill="1" applyBorder="1"/>
    <xf numFmtId="0" fontId="4" fillId="0" borderId="14" xfId="0" applyFont="1" applyBorder="1"/>
    <xf numFmtId="9" fontId="6" fillId="4" borderId="14" xfId="0" applyNumberFormat="1" applyFont="1" applyFill="1" applyBorder="1"/>
    <xf numFmtId="166" fontId="6" fillId="4" borderId="14" xfId="0" applyNumberFormat="1" applyFont="1" applyFill="1" applyBorder="1"/>
    <xf numFmtId="166" fontId="6" fillId="4" borderId="14" xfId="3" applyNumberFormat="1" applyFont="1" applyFill="1" applyBorder="1"/>
    <xf numFmtId="9" fontId="6" fillId="4" borderId="2" xfId="0" applyNumberFormat="1" applyFont="1" applyFill="1" applyBorder="1"/>
    <xf numFmtId="166" fontId="6" fillId="0" borderId="14" xfId="0" applyNumberFormat="1" applyFont="1" applyBorder="1"/>
    <xf numFmtId="166" fontId="6" fillId="0" borderId="14" xfId="3" applyNumberFormat="1" applyFont="1" applyBorder="1"/>
    <xf numFmtId="0" fontId="4" fillId="4" borderId="13" xfId="0" applyFont="1" applyFill="1" applyBorder="1" applyAlignment="1">
      <alignment horizontal="left" indent="1"/>
    </xf>
    <xf numFmtId="169" fontId="15" fillId="4" borderId="13" xfId="3" applyNumberFormat="1" applyFont="1" applyFill="1" applyBorder="1" applyAlignment="1"/>
    <xf numFmtId="166" fontId="4" fillId="4" borderId="0" xfId="0" applyNumberFormat="1" applyFont="1" applyFill="1"/>
    <xf numFmtId="166" fontId="4" fillId="4" borderId="5" xfId="3" applyNumberFormat="1" applyFont="1" applyFill="1" applyBorder="1"/>
    <xf numFmtId="166" fontId="6" fillId="4" borderId="10" xfId="3" applyNumberFormat="1" applyFont="1" applyFill="1" applyBorder="1"/>
    <xf numFmtId="166" fontId="6" fillId="2" borderId="1" xfId="0" applyNumberFormat="1" applyFont="1" applyFill="1" applyBorder="1"/>
    <xf numFmtId="166" fontId="6" fillId="2" borderId="5" xfId="0" applyNumberFormat="1" applyFont="1" applyFill="1" applyBorder="1"/>
    <xf numFmtId="165" fontId="15" fillId="0" borderId="0" xfId="2" applyNumberFormat="1" applyFont="1" applyFill="1" applyBorder="1" applyAlignment="1">
      <alignment horizontal="right"/>
    </xf>
    <xf numFmtId="0" fontId="6" fillId="5" borderId="10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left" vertical="center"/>
    </xf>
    <xf numFmtId="0" fontId="4" fillId="0" borderId="1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5" borderId="16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2">
    <dxf>
      <numFmt numFmtId="9" formatCode="&quot;$&quot;#,##0_);\(&quot;$&quot;#,##0\)"/>
    </dxf>
    <dxf>
      <numFmt numFmtId="9" formatCode="&quot;$&quot;#,##0_);\(&quot;$&quot;#,##0\)"/>
    </dxf>
  </dxfs>
  <tableStyles count="0" defaultTableStyle="TableStyleMedium2" defaultPivotStyle="PivotStyleLight16"/>
  <colors>
    <mruColors>
      <color rgb="FF344240"/>
      <color rgb="FFBBC9C7"/>
      <color rgb="FF94AA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3E93E-6363-4C7E-8E72-7C3C7ACED28B}">
  <dimension ref="A1:T82"/>
  <sheetViews>
    <sheetView topLeftCell="D28" workbookViewId="0">
      <selection activeCell="I79" sqref="I79"/>
    </sheetView>
  </sheetViews>
  <sheetFormatPr baseColWidth="10" defaultColWidth="9" defaultRowHeight="11" outlineLevelRow="1" outlineLevelCol="1" x14ac:dyDescent="0.15"/>
  <cols>
    <col min="1" max="1" width="3.1640625" style="7" customWidth="1"/>
    <col min="2" max="2" width="60.1640625" style="7" customWidth="1"/>
    <col min="3" max="3" width="12" style="7" bestFit="1" customWidth="1"/>
    <col min="4" max="4" width="12" style="7" bestFit="1" customWidth="1" outlineLevel="1"/>
    <col min="5" max="5" width="12.33203125" style="7" bestFit="1" customWidth="1" outlineLevel="1"/>
    <col min="6" max="6" width="15.6640625" style="7" customWidth="1" outlineLevel="1"/>
    <col min="7" max="7" width="12.5" style="7" bestFit="1" customWidth="1" outlineLevel="1"/>
    <col min="8" max="8" width="12.33203125" style="7" bestFit="1" customWidth="1"/>
    <col min="9" max="10" width="12.83203125" style="7" bestFit="1" customWidth="1"/>
    <col min="11" max="13" width="13.1640625" style="7" bestFit="1" customWidth="1"/>
    <col min="14" max="15" width="13.1640625" style="7" customWidth="1"/>
    <col min="16" max="16" width="12.83203125" style="7" bestFit="1" customWidth="1"/>
    <col min="17" max="17" width="12" style="7" bestFit="1" customWidth="1"/>
    <col min="18" max="18" width="13.33203125" style="7" bestFit="1" customWidth="1"/>
    <col min="19" max="20" width="3.83203125" style="7" bestFit="1" customWidth="1"/>
    <col min="21" max="16384" width="9" style="7"/>
  </cols>
  <sheetData>
    <row r="1" spans="2:18" ht="23" x14ac:dyDescent="0.25">
      <c r="B1" s="8" t="s">
        <v>2</v>
      </c>
      <c r="F1" s="116" t="s">
        <v>3</v>
      </c>
      <c r="G1" s="117"/>
      <c r="H1" s="118"/>
      <c r="I1" s="9"/>
      <c r="R1" s="10"/>
    </row>
    <row r="2" spans="2:18" ht="16" x14ac:dyDescent="0.2">
      <c r="B2" s="11" t="s">
        <v>36</v>
      </c>
      <c r="F2" s="12" t="s">
        <v>4</v>
      </c>
      <c r="H2" s="13">
        <v>6.5000000000000002E-2</v>
      </c>
      <c r="L2" s="14"/>
      <c r="M2" s="9"/>
      <c r="N2" s="9"/>
      <c r="O2" s="9"/>
      <c r="P2" s="9"/>
    </row>
    <row r="3" spans="2:18" ht="13" x14ac:dyDescent="0.15">
      <c r="B3" s="15" t="s">
        <v>38</v>
      </c>
      <c r="F3" s="12" t="s">
        <v>5</v>
      </c>
      <c r="H3" s="13">
        <v>0</v>
      </c>
      <c r="I3" s="16"/>
    </row>
    <row r="4" spans="2:18" ht="13" x14ac:dyDescent="0.15">
      <c r="B4" s="15"/>
      <c r="F4" s="12" t="s">
        <v>58</v>
      </c>
      <c r="H4" s="13">
        <v>0.55000000000000004</v>
      </c>
      <c r="I4" s="16"/>
    </row>
    <row r="5" spans="2:18" ht="13" x14ac:dyDescent="0.15">
      <c r="B5" s="15"/>
      <c r="F5" s="12" t="s">
        <v>59</v>
      </c>
      <c r="H5" s="112">
        <v>250</v>
      </c>
      <c r="I5" s="16"/>
    </row>
    <row r="6" spans="2:18" x14ac:dyDescent="0.15">
      <c r="B6" s="17"/>
      <c r="C6" s="16"/>
      <c r="D6" s="16"/>
      <c r="E6" s="18"/>
      <c r="F6" s="19" t="s">
        <v>6</v>
      </c>
      <c r="G6" s="20"/>
      <c r="H6" s="21">
        <v>27255205</v>
      </c>
      <c r="J6" s="22"/>
    </row>
    <row r="7" spans="2:18" x14ac:dyDescent="0.15">
      <c r="B7" s="17"/>
      <c r="C7" s="16"/>
      <c r="D7" s="16"/>
      <c r="E7" s="18"/>
      <c r="F7" s="18"/>
      <c r="G7" s="18"/>
      <c r="H7" s="18"/>
      <c r="J7" s="22"/>
    </row>
    <row r="8" spans="2:18" ht="12.75" customHeight="1" x14ac:dyDescent="0.15">
      <c r="B8" s="178" t="s">
        <v>7</v>
      </c>
      <c r="C8" s="23" t="s">
        <v>8</v>
      </c>
      <c r="D8" s="24">
        <f t="shared" ref="D8:P8" si="0">D9+1</f>
        <v>2026</v>
      </c>
      <c r="E8" s="24">
        <f t="shared" si="0"/>
        <v>2027</v>
      </c>
      <c r="F8" s="24">
        <f t="shared" si="0"/>
        <v>2028</v>
      </c>
      <c r="G8" s="24">
        <f t="shared" si="0"/>
        <v>2029</v>
      </c>
      <c r="H8" s="24">
        <f t="shared" si="0"/>
        <v>2030</v>
      </c>
      <c r="I8" s="24">
        <f t="shared" si="0"/>
        <v>2031</v>
      </c>
      <c r="J8" s="24">
        <f t="shared" si="0"/>
        <v>2032</v>
      </c>
      <c r="K8" s="24">
        <f t="shared" si="0"/>
        <v>2033</v>
      </c>
      <c r="L8" s="24">
        <f t="shared" si="0"/>
        <v>2034</v>
      </c>
      <c r="M8" s="24">
        <f t="shared" si="0"/>
        <v>2035</v>
      </c>
      <c r="N8" s="24">
        <f t="shared" si="0"/>
        <v>2036</v>
      </c>
      <c r="O8" s="24">
        <f t="shared" si="0"/>
        <v>2037</v>
      </c>
      <c r="P8" s="24">
        <f t="shared" si="0"/>
        <v>2038</v>
      </c>
      <c r="Q8" s="25"/>
      <c r="R8" s="26"/>
    </row>
    <row r="9" spans="2:18" x14ac:dyDescent="0.15">
      <c r="B9" s="179"/>
      <c r="C9" s="27" t="s">
        <v>0</v>
      </c>
      <c r="D9" s="28">
        <v>2025</v>
      </c>
      <c r="E9" s="28">
        <f t="shared" ref="E9:M10" si="1">D9+1</f>
        <v>2026</v>
      </c>
      <c r="F9" s="28">
        <f t="shared" si="1"/>
        <v>2027</v>
      </c>
      <c r="G9" s="28">
        <f t="shared" si="1"/>
        <v>2028</v>
      </c>
      <c r="H9" s="28">
        <f t="shared" si="1"/>
        <v>2029</v>
      </c>
      <c r="I9" s="28">
        <f t="shared" si="1"/>
        <v>2030</v>
      </c>
      <c r="J9" s="28">
        <f t="shared" si="1"/>
        <v>2031</v>
      </c>
      <c r="K9" s="28">
        <f t="shared" si="1"/>
        <v>2032</v>
      </c>
      <c r="L9" s="28">
        <f t="shared" si="1"/>
        <v>2033</v>
      </c>
      <c r="M9" s="28">
        <f t="shared" si="1"/>
        <v>2034</v>
      </c>
      <c r="N9" s="28">
        <f t="shared" ref="N9:N10" si="2">M9+1</f>
        <v>2035</v>
      </c>
      <c r="O9" s="28">
        <f t="shared" ref="O9:O10" si="3">N9+1</f>
        <v>2036</v>
      </c>
      <c r="P9" s="28">
        <f t="shared" ref="P9:P10" si="4">O9+1</f>
        <v>2037</v>
      </c>
      <c r="Q9" s="29" t="s">
        <v>9</v>
      </c>
      <c r="R9" s="30" t="s">
        <v>10</v>
      </c>
    </row>
    <row r="10" spans="2:18" x14ac:dyDescent="0.15">
      <c r="B10" s="31" t="s">
        <v>11</v>
      </c>
      <c r="C10" s="32" t="s">
        <v>12</v>
      </c>
      <c r="D10" s="33">
        <v>1</v>
      </c>
      <c r="E10" s="33">
        <f>D10+1</f>
        <v>2</v>
      </c>
      <c r="F10" s="33">
        <f t="shared" si="1"/>
        <v>3</v>
      </c>
      <c r="G10" s="33">
        <f t="shared" si="1"/>
        <v>4</v>
      </c>
      <c r="H10" s="33">
        <f t="shared" si="1"/>
        <v>5</v>
      </c>
      <c r="I10" s="33">
        <f t="shared" si="1"/>
        <v>6</v>
      </c>
      <c r="J10" s="33">
        <f t="shared" si="1"/>
        <v>7</v>
      </c>
      <c r="K10" s="33">
        <f t="shared" si="1"/>
        <v>8</v>
      </c>
      <c r="L10" s="33">
        <f t="shared" si="1"/>
        <v>9</v>
      </c>
      <c r="M10" s="33">
        <f t="shared" si="1"/>
        <v>10</v>
      </c>
      <c r="N10" s="33">
        <f t="shared" si="2"/>
        <v>11</v>
      </c>
      <c r="O10" s="33">
        <f t="shared" si="3"/>
        <v>12</v>
      </c>
      <c r="P10" s="33">
        <f t="shared" si="4"/>
        <v>13</v>
      </c>
      <c r="Q10" s="34"/>
      <c r="R10" s="35"/>
    </row>
    <row r="11" spans="2:18" x14ac:dyDescent="0.15">
      <c r="B11" s="113" t="s">
        <v>37</v>
      </c>
      <c r="C11" s="114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80"/>
      <c r="R11" s="181"/>
    </row>
    <row r="12" spans="2:18" ht="13.5" customHeight="1" x14ac:dyDescent="0.15">
      <c r="B12" s="36" t="s">
        <v>39</v>
      </c>
      <c r="C12" s="37"/>
      <c r="D12" s="38" t="e">
        <f>Comps!J9+Comps!#REF!</f>
        <v>#REF!</v>
      </c>
      <c r="E12" s="39" t="e">
        <f>D12</f>
        <v>#REF!</v>
      </c>
      <c r="F12" s="39" t="e">
        <f t="shared" ref="F12:M13" si="5">E12</f>
        <v>#REF!</v>
      </c>
      <c r="G12" s="39" t="e">
        <f t="shared" si="5"/>
        <v>#REF!</v>
      </c>
      <c r="H12" s="39" t="e">
        <f t="shared" si="5"/>
        <v>#REF!</v>
      </c>
      <c r="I12" s="39" t="e">
        <f t="shared" si="5"/>
        <v>#REF!</v>
      </c>
      <c r="J12" s="39" t="e">
        <f t="shared" si="5"/>
        <v>#REF!</v>
      </c>
      <c r="K12" s="39" t="e">
        <f t="shared" si="5"/>
        <v>#REF!</v>
      </c>
      <c r="L12" s="39" t="e">
        <f t="shared" si="5"/>
        <v>#REF!</v>
      </c>
      <c r="M12" s="39" t="e">
        <f t="shared" si="5"/>
        <v>#REF!</v>
      </c>
      <c r="N12" s="39" t="e">
        <f t="shared" ref="N12:N13" si="6">M12</f>
        <v>#REF!</v>
      </c>
      <c r="O12" s="39" t="e">
        <f t="shared" ref="O12:O13" si="7">N12</f>
        <v>#REF!</v>
      </c>
      <c r="P12" s="39" t="e">
        <f t="shared" ref="P12:P13" si="8">O12</f>
        <v>#REF!</v>
      </c>
      <c r="Q12" s="182"/>
      <c r="R12" s="183"/>
    </row>
    <row r="13" spans="2:18" ht="13.5" customHeight="1" x14ac:dyDescent="0.15">
      <c r="B13" s="36" t="s">
        <v>40</v>
      </c>
      <c r="C13" s="37"/>
      <c r="D13" s="38">
        <v>0</v>
      </c>
      <c r="E13" s="39" t="e">
        <f>((H5*Comps!#REF!)+Comps!#REF!)*'Budget with Market Station'!H4</f>
        <v>#REF!</v>
      </c>
      <c r="F13" s="39" t="e">
        <f>E13</f>
        <v>#REF!</v>
      </c>
      <c r="G13" s="39" t="e">
        <f t="shared" si="5"/>
        <v>#REF!</v>
      </c>
      <c r="H13" s="39" t="e">
        <f t="shared" si="5"/>
        <v>#REF!</v>
      </c>
      <c r="I13" s="39" t="e">
        <f t="shared" si="5"/>
        <v>#REF!</v>
      </c>
      <c r="J13" s="39" t="e">
        <f t="shared" si="5"/>
        <v>#REF!</v>
      </c>
      <c r="K13" s="39" t="e">
        <f t="shared" si="5"/>
        <v>#REF!</v>
      </c>
      <c r="L13" s="39" t="e">
        <f t="shared" si="5"/>
        <v>#REF!</v>
      </c>
      <c r="M13" s="39" t="e">
        <f t="shared" si="5"/>
        <v>#REF!</v>
      </c>
      <c r="N13" s="39" t="e">
        <f t="shared" si="6"/>
        <v>#REF!</v>
      </c>
      <c r="O13" s="39" t="e">
        <f t="shared" si="7"/>
        <v>#REF!</v>
      </c>
      <c r="P13" s="39" t="e">
        <f t="shared" si="8"/>
        <v>#REF!</v>
      </c>
      <c r="Q13" s="182"/>
      <c r="R13" s="183"/>
    </row>
    <row r="14" spans="2:18" ht="13.5" customHeight="1" x14ac:dyDescent="0.15">
      <c r="B14" s="40" t="s">
        <v>13</v>
      </c>
      <c r="C14" s="37"/>
      <c r="D14" s="41" t="e">
        <f t="shared" ref="D14:P14" si="9">SUM(D12:D13)</f>
        <v>#REF!</v>
      </c>
      <c r="E14" s="41" t="e">
        <f t="shared" si="9"/>
        <v>#REF!</v>
      </c>
      <c r="F14" s="41" t="e">
        <f t="shared" si="9"/>
        <v>#REF!</v>
      </c>
      <c r="G14" s="41" t="e">
        <f t="shared" si="9"/>
        <v>#REF!</v>
      </c>
      <c r="H14" s="41" t="e">
        <f t="shared" si="9"/>
        <v>#REF!</v>
      </c>
      <c r="I14" s="41" t="e">
        <f t="shared" si="9"/>
        <v>#REF!</v>
      </c>
      <c r="J14" s="41" t="e">
        <f t="shared" si="9"/>
        <v>#REF!</v>
      </c>
      <c r="K14" s="41" t="e">
        <f t="shared" si="9"/>
        <v>#REF!</v>
      </c>
      <c r="L14" s="41" t="e">
        <f t="shared" si="9"/>
        <v>#REF!</v>
      </c>
      <c r="M14" s="41" t="e">
        <f t="shared" si="9"/>
        <v>#REF!</v>
      </c>
      <c r="N14" s="41" t="e">
        <f t="shared" si="9"/>
        <v>#REF!</v>
      </c>
      <c r="O14" s="41" t="e">
        <f t="shared" si="9"/>
        <v>#REF!</v>
      </c>
      <c r="P14" s="41" t="e">
        <f t="shared" si="9"/>
        <v>#REF!</v>
      </c>
      <c r="Q14" s="182"/>
      <c r="R14" s="183"/>
    </row>
    <row r="15" spans="2:18" ht="13.5" customHeight="1" x14ac:dyDescent="0.15">
      <c r="B15" s="36" t="s">
        <v>71</v>
      </c>
      <c r="D15" s="39">
        <v>2683700</v>
      </c>
      <c r="E15" s="39">
        <f>D15</f>
        <v>2683700</v>
      </c>
      <c r="F15" s="39">
        <f t="shared" ref="F15:M15" si="10">E15</f>
        <v>2683700</v>
      </c>
      <c r="G15" s="39">
        <f t="shared" si="10"/>
        <v>2683700</v>
      </c>
      <c r="H15" s="39">
        <f t="shared" si="10"/>
        <v>2683700</v>
      </c>
      <c r="I15" s="39">
        <f t="shared" si="10"/>
        <v>2683700</v>
      </c>
      <c r="J15" s="39">
        <f t="shared" si="10"/>
        <v>2683700</v>
      </c>
      <c r="K15" s="39">
        <f t="shared" si="10"/>
        <v>2683700</v>
      </c>
      <c r="L15" s="39">
        <f t="shared" si="10"/>
        <v>2683700</v>
      </c>
      <c r="M15" s="39">
        <f t="shared" si="10"/>
        <v>2683700</v>
      </c>
      <c r="N15" s="39">
        <f t="shared" ref="N15:N17" si="11">M15</f>
        <v>2683700</v>
      </c>
      <c r="O15" s="39">
        <f t="shared" ref="O15:O17" si="12">N15</f>
        <v>2683700</v>
      </c>
      <c r="P15" s="39">
        <f t="shared" ref="P15:P17" si="13">O15</f>
        <v>2683700</v>
      </c>
      <c r="Q15" s="182"/>
      <c r="R15" s="183"/>
    </row>
    <row r="16" spans="2:18" ht="13.5" customHeight="1" x14ac:dyDescent="0.15">
      <c r="B16" s="36" t="s">
        <v>72</v>
      </c>
      <c r="D16" s="39">
        <v>0</v>
      </c>
      <c r="E16" s="39">
        <v>1117767.892</v>
      </c>
      <c r="F16" s="39">
        <f>E16</f>
        <v>1117767.892</v>
      </c>
      <c r="G16" s="39">
        <f t="shared" ref="G16:M17" si="14">F16</f>
        <v>1117767.892</v>
      </c>
      <c r="H16" s="39">
        <f t="shared" si="14"/>
        <v>1117767.892</v>
      </c>
      <c r="I16" s="39">
        <f t="shared" si="14"/>
        <v>1117767.892</v>
      </c>
      <c r="J16" s="39">
        <f t="shared" si="14"/>
        <v>1117767.892</v>
      </c>
      <c r="K16" s="39">
        <f t="shared" si="14"/>
        <v>1117767.892</v>
      </c>
      <c r="L16" s="39">
        <f t="shared" si="14"/>
        <v>1117767.892</v>
      </c>
      <c r="M16" s="39">
        <f t="shared" si="14"/>
        <v>1117767.892</v>
      </c>
      <c r="N16" s="39">
        <f t="shared" si="11"/>
        <v>1117767.892</v>
      </c>
      <c r="O16" s="39">
        <f t="shared" si="12"/>
        <v>1117767.892</v>
      </c>
      <c r="P16" s="39">
        <f t="shared" si="13"/>
        <v>1117767.892</v>
      </c>
      <c r="Q16" s="182"/>
      <c r="R16" s="183"/>
    </row>
    <row r="17" spans="1:20" ht="13.5" customHeight="1" x14ac:dyDescent="0.15">
      <c r="B17" s="36" t="s">
        <v>73</v>
      </c>
      <c r="D17" s="39">
        <v>0</v>
      </c>
      <c r="E17" s="39">
        <v>1056100</v>
      </c>
      <c r="F17" s="39">
        <f>E17</f>
        <v>1056100</v>
      </c>
      <c r="G17" s="39">
        <f t="shared" si="14"/>
        <v>1056100</v>
      </c>
      <c r="H17" s="39">
        <f t="shared" si="14"/>
        <v>1056100</v>
      </c>
      <c r="I17" s="39">
        <f t="shared" si="14"/>
        <v>1056100</v>
      </c>
      <c r="J17" s="39">
        <f t="shared" si="14"/>
        <v>1056100</v>
      </c>
      <c r="K17" s="39">
        <f t="shared" si="14"/>
        <v>1056100</v>
      </c>
      <c r="L17" s="39">
        <f t="shared" si="14"/>
        <v>1056100</v>
      </c>
      <c r="M17" s="39">
        <f t="shared" si="14"/>
        <v>1056100</v>
      </c>
      <c r="N17" s="39">
        <f t="shared" si="11"/>
        <v>1056100</v>
      </c>
      <c r="O17" s="39">
        <f t="shared" si="12"/>
        <v>1056100</v>
      </c>
      <c r="P17" s="39">
        <f t="shared" si="13"/>
        <v>1056100</v>
      </c>
      <c r="Q17" s="182"/>
      <c r="R17" s="183"/>
    </row>
    <row r="18" spans="1:20" ht="13.5" customHeight="1" x14ac:dyDescent="0.15">
      <c r="B18" s="36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182"/>
      <c r="R18" s="183"/>
    </row>
    <row r="19" spans="1:20" ht="13.5" customHeight="1" x14ac:dyDescent="0.15">
      <c r="B19" s="36" t="s">
        <v>70</v>
      </c>
      <c r="D19" s="39">
        <v>25858099</v>
      </c>
      <c r="E19" s="39">
        <v>25858099</v>
      </c>
      <c r="F19" s="39">
        <v>25858099</v>
      </c>
      <c r="G19" s="39">
        <v>25858099</v>
      </c>
      <c r="H19" s="39">
        <v>25858099</v>
      </c>
      <c r="I19" s="39">
        <v>25858099</v>
      </c>
      <c r="J19" s="39">
        <v>25858099</v>
      </c>
      <c r="K19" s="39">
        <v>25858099</v>
      </c>
      <c r="L19" s="39">
        <v>25858099</v>
      </c>
      <c r="M19" s="39">
        <v>25858099</v>
      </c>
      <c r="N19" s="39">
        <v>25858100</v>
      </c>
      <c r="O19" s="39">
        <v>25858101</v>
      </c>
      <c r="P19" s="39">
        <v>25858102</v>
      </c>
      <c r="Q19" s="182"/>
      <c r="R19" s="183"/>
    </row>
    <row r="20" spans="1:20" ht="12.75" customHeight="1" x14ac:dyDescent="0.15">
      <c r="B20" s="42" t="s">
        <v>14</v>
      </c>
      <c r="C20" s="43"/>
      <c r="D20" s="44" t="e">
        <f>SUM(D14:D19)</f>
        <v>#REF!</v>
      </c>
      <c r="E20" s="44" t="e">
        <f t="shared" ref="E20:M20" si="15">SUM(E14:E19)</f>
        <v>#REF!</v>
      </c>
      <c r="F20" s="44" t="e">
        <f t="shared" si="15"/>
        <v>#REF!</v>
      </c>
      <c r="G20" s="44" t="e">
        <f t="shared" si="15"/>
        <v>#REF!</v>
      </c>
      <c r="H20" s="44" t="e">
        <f t="shared" si="15"/>
        <v>#REF!</v>
      </c>
      <c r="I20" s="44" t="e">
        <f t="shared" si="15"/>
        <v>#REF!</v>
      </c>
      <c r="J20" s="44" t="e">
        <f t="shared" si="15"/>
        <v>#REF!</v>
      </c>
      <c r="K20" s="44" t="e">
        <f t="shared" si="15"/>
        <v>#REF!</v>
      </c>
      <c r="L20" s="44" t="e">
        <f t="shared" si="15"/>
        <v>#REF!</v>
      </c>
      <c r="M20" s="44" t="e">
        <f t="shared" si="15"/>
        <v>#REF!</v>
      </c>
      <c r="N20" s="44" t="e">
        <f t="shared" ref="N20:P20" si="16">SUM(N14:N19)</f>
        <v>#REF!</v>
      </c>
      <c r="O20" s="44" t="e">
        <f t="shared" si="16"/>
        <v>#REF!</v>
      </c>
      <c r="P20" s="44" t="e">
        <f t="shared" si="16"/>
        <v>#REF!</v>
      </c>
      <c r="Q20" s="184"/>
      <c r="R20" s="185"/>
    </row>
    <row r="21" spans="1:20" x14ac:dyDescent="0.15">
      <c r="B21" s="119" t="s">
        <v>15</v>
      </c>
      <c r="C21" s="120" t="s">
        <v>16</v>
      </c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2" t="s">
        <v>1</v>
      </c>
      <c r="R21" s="123" t="s">
        <v>10</v>
      </c>
    </row>
    <row r="22" spans="1:20" x14ac:dyDescent="0.15">
      <c r="A22" s="45"/>
      <c r="B22" s="46" t="s">
        <v>17</v>
      </c>
      <c r="C22" s="47">
        <v>1.459E-3</v>
      </c>
      <c r="D22" s="18" t="e">
        <f t="shared" ref="D22:P27" si="17">+$C22*D$20</f>
        <v>#REF!</v>
      </c>
      <c r="E22" s="18" t="e">
        <f t="shared" si="17"/>
        <v>#REF!</v>
      </c>
      <c r="F22" s="18" t="e">
        <f t="shared" si="17"/>
        <v>#REF!</v>
      </c>
      <c r="G22" s="18" t="e">
        <f t="shared" si="17"/>
        <v>#REF!</v>
      </c>
      <c r="H22" s="18" t="e">
        <f t="shared" si="17"/>
        <v>#REF!</v>
      </c>
      <c r="I22" s="18" t="e">
        <f t="shared" si="17"/>
        <v>#REF!</v>
      </c>
      <c r="J22" s="18" t="e">
        <f t="shared" si="17"/>
        <v>#REF!</v>
      </c>
      <c r="K22" s="18" t="e">
        <f t="shared" si="17"/>
        <v>#REF!</v>
      </c>
      <c r="L22" s="18" t="e">
        <f t="shared" si="17"/>
        <v>#REF!</v>
      </c>
      <c r="M22" s="18" t="e">
        <f t="shared" si="17"/>
        <v>#REF!</v>
      </c>
      <c r="N22" s="18" t="e">
        <f t="shared" si="17"/>
        <v>#REF!</v>
      </c>
      <c r="O22" s="18" t="e">
        <f t="shared" si="17"/>
        <v>#REF!</v>
      </c>
      <c r="P22" s="18" t="e">
        <f t="shared" si="17"/>
        <v>#REF!</v>
      </c>
      <c r="Q22" s="48" t="e">
        <f t="shared" ref="Q22:Q28" si="18">SUM(D22:P22)</f>
        <v>#REF!</v>
      </c>
      <c r="R22" s="49" t="e">
        <f t="shared" ref="R22:R28" si="19">NPV($H$2,D22:P22)</f>
        <v>#REF!</v>
      </c>
    </row>
    <row r="23" spans="1:20" x14ac:dyDescent="0.15">
      <c r="A23" s="45"/>
      <c r="B23" s="46" t="s">
        <v>18</v>
      </c>
      <c r="C23" s="47">
        <v>3.86E-4</v>
      </c>
      <c r="D23" s="18" t="e">
        <f t="shared" si="17"/>
        <v>#REF!</v>
      </c>
      <c r="E23" s="18" t="e">
        <f t="shared" si="17"/>
        <v>#REF!</v>
      </c>
      <c r="F23" s="18" t="e">
        <f t="shared" si="17"/>
        <v>#REF!</v>
      </c>
      <c r="G23" s="18" t="e">
        <f t="shared" si="17"/>
        <v>#REF!</v>
      </c>
      <c r="H23" s="18" t="e">
        <f t="shared" si="17"/>
        <v>#REF!</v>
      </c>
      <c r="I23" s="18" t="e">
        <f t="shared" si="17"/>
        <v>#REF!</v>
      </c>
      <c r="J23" s="18" t="e">
        <f t="shared" si="17"/>
        <v>#REF!</v>
      </c>
      <c r="K23" s="18" t="e">
        <f t="shared" si="17"/>
        <v>#REF!</v>
      </c>
      <c r="L23" s="18" t="e">
        <f t="shared" si="17"/>
        <v>#REF!</v>
      </c>
      <c r="M23" s="18" t="e">
        <f t="shared" si="17"/>
        <v>#REF!</v>
      </c>
      <c r="N23" s="18" t="e">
        <f t="shared" si="17"/>
        <v>#REF!</v>
      </c>
      <c r="O23" s="18" t="e">
        <f t="shared" si="17"/>
        <v>#REF!</v>
      </c>
      <c r="P23" s="18" t="e">
        <f t="shared" si="17"/>
        <v>#REF!</v>
      </c>
      <c r="Q23" s="48" t="e">
        <f t="shared" si="18"/>
        <v>#REF!</v>
      </c>
      <c r="R23" s="49" t="e">
        <f t="shared" si="19"/>
        <v>#REF!</v>
      </c>
    </row>
    <row r="24" spans="1:20" x14ac:dyDescent="0.15">
      <c r="A24" s="45"/>
      <c r="B24" s="46" t="s">
        <v>19</v>
      </c>
      <c r="C24" s="47">
        <v>6.3109999999999998E-3</v>
      </c>
      <c r="D24" s="18" t="e">
        <f t="shared" si="17"/>
        <v>#REF!</v>
      </c>
      <c r="E24" s="18" t="e">
        <f t="shared" si="17"/>
        <v>#REF!</v>
      </c>
      <c r="F24" s="18" t="e">
        <f t="shared" si="17"/>
        <v>#REF!</v>
      </c>
      <c r="G24" s="18" t="e">
        <f t="shared" si="17"/>
        <v>#REF!</v>
      </c>
      <c r="H24" s="18" t="e">
        <f t="shared" si="17"/>
        <v>#REF!</v>
      </c>
      <c r="I24" s="18" t="e">
        <f t="shared" si="17"/>
        <v>#REF!</v>
      </c>
      <c r="J24" s="18" t="e">
        <f t="shared" si="17"/>
        <v>#REF!</v>
      </c>
      <c r="K24" s="18" t="e">
        <f t="shared" si="17"/>
        <v>#REF!</v>
      </c>
      <c r="L24" s="18" t="e">
        <f t="shared" si="17"/>
        <v>#REF!</v>
      </c>
      <c r="M24" s="18" t="e">
        <f t="shared" si="17"/>
        <v>#REF!</v>
      </c>
      <c r="N24" s="18" t="e">
        <f t="shared" si="17"/>
        <v>#REF!</v>
      </c>
      <c r="O24" s="18" t="e">
        <f t="shared" si="17"/>
        <v>#REF!</v>
      </c>
      <c r="P24" s="18" t="e">
        <f t="shared" si="17"/>
        <v>#REF!</v>
      </c>
      <c r="Q24" s="48" t="e">
        <f t="shared" si="18"/>
        <v>#REF!</v>
      </c>
      <c r="R24" s="49" t="e">
        <f t="shared" si="19"/>
        <v>#REF!</v>
      </c>
    </row>
    <row r="25" spans="1:20" x14ac:dyDescent="0.15">
      <c r="A25" s="45"/>
      <c r="B25" s="46" t="s">
        <v>20</v>
      </c>
      <c r="C25" s="47">
        <v>2.565E-3</v>
      </c>
      <c r="D25" s="18" t="e">
        <f t="shared" si="17"/>
        <v>#REF!</v>
      </c>
      <c r="E25" s="18" t="e">
        <f t="shared" si="17"/>
        <v>#REF!</v>
      </c>
      <c r="F25" s="18" t="e">
        <f t="shared" si="17"/>
        <v>#REF!</v>
      </c>
      <c r="G25" s="18" t="e">
        <f t="shared" si="17"/>
        <v>#REF!</v>
      </c>
      <c r="H25" s="18" t="e">
        <f t="shared" si="17"/>
        <v>#REF!</v>
      </c>
      <c r="I25" s="18" t="e">
        <f t="shared" si="17"/>
        <v>#REF!</v>
      </c>
      <c r="J25" s="18" t="e">
        <f t="shared" si="17"/>
        <v>#REF!</v>
      </c>
      <c r="K25" s="18" t="e">
        <f t="shared" si="17"/>
        <v>#REF!</v>
      </c>
      <c r="L25" s="18" t="e">
        <f t="shared" si="17"/>
        <v>#REF!</v>
      </c>
      <c r="M25" s="18" t="e">
        <f t="shared" si="17"/>
        <v>#REF!</v>
      </c>
      <c r="N25" s="18" t="e">
        <f t="shared" si="17"/>
        <v>#REF!</v>
      </c>
      <c r="O25" s="18" t="e">
        <f t="shared" si="17"/>
        <v>#REF!</v>
      </c>
      <c r="P25" s="18" t="e">
        <f t="shared" si="17"/>
        <v>#REF!</v>
      </c>
      <c r="Q25" s="48" t="e">
        <f t="shared" si="18"/>
        <v>#REF!</v>
      </c>
      <c r="R25" s="49" t="e">
        <f t="shared" si="19"/>
        <v>#REF!</v>
      </c>
    </row>
    <row r="26" spans="1:20" x14ac:dyDescent="0.15">
      <c r="A26" s="45"/>
      <c r="B26" s="46" t="s">
        <v>21</v>
      </c>
      <c r="C26" s="47">
        <v>9.0000000000000002E-6</v>
      </c>
      <c r="D26" s="18" t="e">
        <f t="shared" si="17"/>
        <v>#REF!</v>
      </c>
      <c r="E26" s="18" t="e">
        <f t="shared" si="17"/>
        <v>#REF!</v>
      </c>
      <c r="F26" s="18" t="e">
        <f t="shared" si="17"/>
        <v>#REF!</v>
      </c>
      <c r="G26" s="18" t="e">
        <f t="shared" si="17"/>
        <v>#REF!</v>
      </c>
      <c r="H26" s="18" t="e">
        <f t="shared" si="17"/>
        <v>#REF!</v>
      </c>
      <c r="I26" s="18" t="e">
        <f t="shared" si="17"/>
        <v>#REF!</v>
      </c>
      <c r="J26" s="18" t="e">
        <f t="shared" si="17"/>
        <v>#REF!</v>
      </c>
      <c r="K26" s="18" t="e">
        <f t="shared" si="17"/>
        <v>#REF!</v>
      </c>
      <c r="L26" s="18" t="e">
        <f t="shared" si="17"/>
        <v>#REF!</v>
      </c>
      <c r="M26" s="18" t="e">
        <f t="shared" si="17"/>
        <v>#REF!</v>
      </c>
      <c r="N26" s="18" t="e">
        <f t="shared" si="17"/>
        <v>#REF!</v>
      </c>
      <c r="O26" s="18" t="e">
        <f t="shared" si="17"/>
        <v>#REF!</v>
      </c>
      <c r="P26" s="18" t="e">
        <f t="shared" si="17"/>
        <v>#REF!</v>
      </c>
      <c r="Q26" s="48" t="e">
        <f t="shared" si="18"/>
        <v>#REF!</v>
      </c>
      <c r="R26" s="49" t="e">
        <f t="shared" si="19"/>
        <v>#REF!</v>
      </c>
    </row>
    <row r="27" spans="1:20" x14ac:dyDescent="0.15">
      <c r="A27" s="45"/>
      <c r="B27" s="46" t="s">
        <v>22</v>
      </c>
      <c r="C27" s="47">
        <v>4.0000000000000002E-4</v>
      </c>
      <c r="D27" s="18" t="e">
        <f t="shared" si="17"/>
        <v>#REF!</v>
      </c>
      <c r="E27" s="18" t="e">
        <f t="shared" si="17"/>
        <v>#REF!</v>
      </c>
      <c r="F27" s="18" t="e">
        <f t="shared" si="17"/>
        <v>#REF!</v>
      </c>
      <c r="G27" s="18" t="e">
        <f t="shared" si="17"/>
        <v>#REF!</v>
      </c>
      <c r="H27" s="18" t="e">
        <f t="shared" si="17"/>
        <v>#REF!</v>
      </c>
      <c r="I27" s="18" t="e">
        <f t="shared" si="17"/>
        <v>#REF!</v>
      </c>
      <c r="J27" s="18" t="e">
        <f t="shared" si="17"/>
        <v>#REF!</v>
      </c>
      <c r="K27" s="18" t="e">
        <f t="shared" si="17"/>
        <v>#REF!</v>
      </c>
      <c r="L27" s="18" t="e">
        <f t="shared" si="17"/>
        <v>#REF!</v>
      </c>
      <c r="M27" s="18" t="e">
        <f t="shared" si="17"/>
        <v>#REF!</v>
      </c>
      <c r="N27" s="18" t="e">
        <f t="shared" si="17"/>
        <v>#REF!</v>
      </c>
      <c r="O27" s="18" t="e">
        <f t="shared" si="17"/>
        <v>#REF!</v>
      </c>
      <c r="P27" s="18" t="e">
        <f t="shared" si="17"/>
        <v>#REF!</v>
      </c>
      <c r="Q27" s="48" t="e">
        <f t="shared" si="18"/>
        <v>#REF!</v>
      </c>
      <c r="R27" s="49" t="e">
        <f t="shared" si="19"/>
        <v>#REF!</v>
      </c>
    </row>
    <row r="28" spans="1:20" x14ac:dyDescent="0.15">
      <c r="B28" s="50" t="s">
        <v>23</v>
      </c>
      <c r="C28" s="51">
        <f t="shared" ref="C28:M28" si="20">SUM(C22:C27)</f>
        <v>1.1129999999999999E-2</v>
      </c>
      <c r="D28" s="52" t="e">
        <f t="shared" si="20"/>
        <v>#REF!</v>
      </c>
      <c r="E28" s="52" t="e">
        <f t="shared" si="20"/>
        <v>#REF!</v>
      </c>
      <c r="F28" s="52" t="e">
        <f t="shared" si="20"/>
        <v>#REF!</v>
      </c>
      <c r="G28" s="52" t="e">
        <f t="shared" si="20"/>
        <v>#REF!</v>
      </c>
      <c r="H28" s="52" t="e">
        <f t="shared" si="20"/>
        <v>#REF!</v>
      </c>
      <c r="I28" s="52" t="e">
        <f t="shared" si="20"/>
        <v>#REF!</v>
      </c>
      <c r="J28" s="52" t="e">
        <f t="shared" si="20"/>
        <v>#REF!</v>
      </c>
      <c r="K28" s="52" t="e">
        <f t="shared" si="20"/>
        <v>#REF!</v>
      </c>
      <c r="L28" s="52" t="e">
        <f t="shared" si="20"/>
        <v>#REF!</v>
      </c>
      <c r="M28" s="52" t="e">
        <f t="shared" si="20"/>
        <v>#REF!</v>
      </c>
      <c r="N28" s="52" t="e">
        <f t="shared" ref="N28:P28" si="21">SUM(N22:N27)</f>
        <v>#REF!</v>
      </c>
      <c r="O28" s="52" t="e">
        <f t="shared" si="21"/>
        <v>#REF!</v>
      </c>
      <c r="P28" s="52" t="e">
        <f t="shared" si="21"/>
        <v>#REF!</v>
      </c>
      <c r="Q28" s="53" t="e">
        <f t="shared" si="18"/>
        <v>#REF!</v>
      </c>
      <c r="R28" s="54" t="e">
        <f t="shared" si="19"/>
        <v>#REF!</v>
      </c>
    </row>
    <row r="29" spans="1:20" x14ac:dyDescent="0.15">
      <c r="B29" s="55" t="s">
        <v>24</v>
      </c>
      <c r="C29" s="56"/>
      <c r="D29" s="29">
        <f t="shared" ref="D29:P29" si="22">D8</f>
        <v>2026</v>
      </c>
      <c r="E29" s="29">
        <f t="shared" si="22"/>
        <v>2027</v>
      </c>
      <c r="F29" s="29">
        <f t="shared" si="22"/>
        <v>2028</v>
      </c>
      <c r="G29" s="29">
        <f t="shared" si="22"/>
        <v>2029</v>
      </c>
      <c r="H29" s="29">
        <f t="shared" si="22"/>
        <v>2030</v>
      </c>
      <c r="I29" s="29">
        <f t="shared" si="22"/>
        <v>2031</v>
      </c>
      <c r="J29" s="29">
        <f t="shared" si="22"/>
        <v>2032</v>
      </c>
      <c r="K29" s="29">
        <f t="shared" si="22"/>
        <v>2033</v>
      </c>
      <c r="L29" s="29">
        <f t="shared" si="22"/>
        <v>2034</v>
      </c>
      <c r="M29" s="29">
        <f t="shared" si="22"/>
        <v>2035</v>
      </c>
      <c r="N29" s="29">
        <f t="shared" si="22"/>
        <v>2036</v>
      </c>
      <c r="O29" s="29">
        <f t="shared" si="22"/>
        <v>2037</v>
      </c>
      <c r="P29" s="29">
        <f t="shared" si="22"/>
        <v>2038</v>
      </c>
      <c r="Q29" s="56"/>
      <c r="R29" s="57"/>
    </row>
    <row r="30" spans="1:20" x14ac:dyDescent="0.15">
      <c r="B30" s="31" t="s">
        <v>25</v>
      </c>
      <c r="C30" s="34"/>
      <c r="D30" s="58">
        <f t="shared" ref="D30:P30" si="23">D9</f>
        <v>2025</v>
      </c>
      <c r="E30" s="58">
        <f t="shared" si="23"/>
        <v>2026</v>
      </c>
      <c r="F30" s="58">
        <f t="shared" si="23"/>
        <v>2027</v>
      </c>
      <c r="G30" s="58">
        <f t="shared" si="23"/>
        <v>2028</v>
      </c>
      <c r="H30" s="58">
        <f t="shared" si="23"/>
        <v>2029</v>
      </c>
      <c r="I30" s="58">
        <f t="shared" si="23"/>
        <v>2030</v>
      </c>
      <c r="J30" s="58">
        <f t="shared" si="23"/>
        <v>2031</v>
      </c>
      <c r="K30" s="58">
        <f t="shared" si="23"/>
        <v>2032</v>
      </c>
      <c r="L30" s="58">
        <f t="shared" si="23"/>
        <v>2033</v>
      </c>
      <c r="M30" s="58">
        <f t="shared" si="23"/>
        <v>2034</v>
      </c>
      <c r="N30" s="58">
        <f t="shared" si="23"/>
        <v>2035</v>
      </c>
      <c r="O30" s="58">
        <f t="shared" si="23"/>
        <v>2036</v>
      </c>
      <c r="P30" s="58">
        <f t="shared" si="23"/>
        <v>2037</v>
      </c>
      <c r="Q30" s="59" t="s">
        <v>9</v>
      </c>
      <c r="R30" s="60" t="s">
        <v>10</v>
      </c>
      <c r="S30" s="61"/>
      <c r="T30" s="61"/>
    </row>
    <row r="31" spans="1:20" x14ac:dyDescent="0.15">
      <c r="B31" s="124" t="s">
        <v>26</v>
      </c>
      <c r="C31" s="121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6"/>
      <c r="R31" s="127"/>
      <c r="S31" s="18"/>
      <c r="T31" s="18"/>
    </row>
    <row r="32" spans="1:20" x14ac:dyDescent="0.15">
      <c r="B32" s="36" t="str">
        <f t="shared" ref="B32:B37" si="24">B22</f>
        <v>Salt Lake County</v>
      </c>
      <c r="D32" s="62">
        <v>0.75</v>
      </c>
      <c r="E32" s="62">
        <f>D32</f>
        <v>0.75</v>
      </c>
      <c r="F32" s="62">
        <f t="shared" ref="F32:M37" si="25">E32</f>
        <v>0.75</v>
      </c>
      <c r="G32" s="62">
        <f t="shared" si="25"/>
        <v>0.75</v>
      </c>
      <c r="H32" s="62">
        <f t="shared" si="25"/>
        <v>0.75</v>
      </c>
      <c r="I32" s="62">
        <f t="shared" si="25"/>
        <v>0.75</v>
      </c>
      <c r="J32" s="62">
        <f t="shared" si="25"/>
        <v>0.75</v>
      </c>
      <c r="K32" s="62">
        <f t="shared" si="25"/>
        <v>0.75</v>
      </c>
      <c r="L32" s="62">
        <f t="shared" si="25"/>
        <v>0.75</v>
      </c>
      <c r="M32" s="62">
        <f t="shared" si="25"/>
        <v>0.75</v>
      </c>
      <c r="N32" s="62">
        <f t="shared" ref="N32:N37" si="26">M32</f>
        <v>0.75</v>
      </c>
      <c r="O32" s="62">
        <f t="shared" ref="O32:O37" si="27">N32</f>
        <v>0.75</v>
      </c>
      <c r="P32" s="62">
        <f t="shared" ref="P32:P37" si="28">O32</f>
        <v>0.75</v>
      </c>
      <c r="Q32" s="63"/>
      <c r="R32" s="64"/>
      <c r="S32" s="65"/>
      <c r="T32" s="65"/>
    </row>
    <row r="33" spans="2:20" x14ac:dyDescent="0.15">
      <c r="B33" s="36" t="str">
        <f t="shared" si="24"/>
        <v>Salt Lake County Library</v>
      </c>
      <c r="D33" s="62">
        <v>0.75</v>
      </c>
      <c r="E33" s="62">
        <f>D33</f>
        <v>0.75</v>
      </c>
      <c r="F33" s="62">
        <f t="shared" si="25"/>
        <v>0.75</v>
      </c>
      <c r="G33" s="62">
        <f t="shared" si="25"/>
        <v>0.75</v>
      </c>
      <c r="H33" s="62">
        <f t="shared" si="25"/>
        <v>0.75</v>
      </c>
      <c r="I33" s="62">
        <f t="shared" si="25"/>
        <v>0.75</v>
      </c>
      <c r="J33" s="62">
        <f t="shared" si="25"/>
        <v>0.75</v>
      </c>
      <c r="K33" s="62">
        <f t="shared" si="25"/>
        <v>0.75</v>
      </c>
      <c r="L33" s="62">
        <f t="shared" si="25"/>
        <v>0.75</v>
      </c>
      <c r="M33" s="62">
        <f t="shared" si="25"/>
        <v>0.75</v>
      </c>
      <c r="N33" s="62">
        <f t="shared" si="26"/>
        <v>0.75</v>
      </c>
      <c r="O33" s="62">
        <f t="shared" si="27"/>
        <v>0.75</v>
      </c>
      <c r="P33" s="62">
        <f t="shared" si="28"/>
        <v>0.75</v>
      </c>
      <c r="Q33" s="63"/>
      <c r="R33" s="64"/>
      <c r="S33" s="65"/>
      <c r="T33" s="65"/>
    </row>
    <row r="34" spans="2:20" x14ac:dyDescent="0.15">
      <c r="B34" s="36" t="str">
        <f t="shared" si="24"/>
        <v>Granite School District</v>
      </c>
      <c r="D34" s="62">
        <v>0.75</v>
      </c>
      <c r="E34" s="62">
        <f t="shared" ref="E34:G37" si="29">D34</f>
        <v>0.75</v>
      </c>
      <c r="F34" s="62">
        <f t="shared" si="29"/>
        <v>0.75</v>
      </c>
      <c r="G34" s="62">
        <f t="shared" si="29"/>
        <v>0.75</v>
      </c>
      <c r="H34" s="62">
        <f t="shared" si="25"/>
        <v>0.75</v>
      </c>
      <c r="I34" s="62">
        <f t="shared" si="25"/>
        <v>0.75</v>
      </c>
      <c r="J34" s="62">
        <f t="shared" si="25"/>
        <v>0.75</v>
      </c>
      <c r="K34" s="62">
        <f t="shared" si="25"/>
        <v>0.75</v>
      </c>
      <c r="L34" s="62">
        <f t="shared" si="25"/>
        <v>0.75</v>
      </c>
      <c r="M34" s="62">
        <f t="shared" si="25"/>
        <v>0.75</v>
      </c>
      <c r="N34" s="62">
        <f t="shared" si="26"/>
        <v>0.75</v>
      </c>
      <c r="O34" s="62">
        <f t="shared" si="27"/>
        <v>0.75</v>
      </c>
      <c r="P34" s="62">
        <f t="shared" si="28"/>
        <v>0.75</v>
      </c>
      <c r="Q34" s="63"/>
      <c r="R34" s="64"/>
      <c r="S34" s="65"/>
      <c r="T34" s="65"/>
    </row>
    <row r="35" spans="2:20" x14ac:dyDescent="0.15">
      <c r="B35" s="36" t="str">
        <f t="shared" si="24"/>
        <v>South Salt Lake City</v>
      </c>
      <c r="D35" s="62">
        <v>0.75</v>
      </c>
      <c r="E35" s="62">
        <f t="shared" si="29"/>
        <v>0.75</v>
      </c>
      <c r="F35" s="62">
        <f t="shared" si="29"/>
        <v>0.75</v>
      </c>
      <c r="G35" s="62">
        <f t="shared" si="29"/>
        <v>0.75</v>
      </c>
      <c r="H35" s="62">
        <f t="shared" si="25"/>
        <v>0.75</v>
      </c>
      <c r="I35" s="62">
        <f t="shared" si="25"/>
        <v>0.75</v>
      </c>
      <c r="J35" s="62">
        <f t="shared" si="25"/>
        <v>0.75</v>
      </c>
      <c r="K35" s="62">
        <f t="shared" si="25"/>
        <v>0.75</v>
      </c>
      <c r="L35" s="62">
        <f t="shared" si="25"/>
        <v>0.75</v>
      </c>
      <c r="M35" s="62">
        <f t="shared" si="25"/>
        <v>0.75</v>
      </c>
      <c r="N35" s="62">
        <f t="shared" si="26"/>
        <v>0.75</v>
      </c>
      <c r="O35" s="62">
        <f t="shared" si="27"/>
        <v>0.75</v>
      </c>
      <c r="P35" s="62">
        <f t="shared" si="28"/>
        <v>0.75</v>
      </c>
      <c r="Q35" s="63"/>
      <c r="R35" s="64"/>
      <c r="S35" s="65"/>
      <c r="T35" s="65"/>
    </row>
    <row r="36" spans="2:20" x14ac:dyDescent="0.15">
      <c r="B36" s="36" t="str">
        <f t="shared" si="24"/>
        <v>South Salt Lake Valley Mosquito Abatement District</v>
      </c>
      <c r="D36" s="62">
        <v>0.75</v>
      </c>
      <c r="E36" s="62">
        <f>D36</f>
        <v>0.75</v>
      </c>
      <c r="F36" s="62">
        <f t="shared" si="29"/>
        <v>0.75</v>
      </c>
      <c r="G36" s="62">
        <f t="shared" si="29"/>
        <v>0.75</v>
      </c>
      <c r="H36" s="62">
        <f t="shared" si="25"/>
        <v>0.75</v>
      </c>
      <c r="I36" s="62">
        <f t="shared" si="25"/>
        <v>0.75</v>
      </c>
      <c r="J36" s="62">
        <f t="shared" si="25"/>
        <v>0.75</v>
      </c>
      <c r="K36" s="62">
        <f t="shared" si="25"/>
        <v>0.75</v>
      </c>
      <c r="L36" s="62">
        <f t="shared" si="25"/>
        <v>0.75</v>
      </c>
      <c r="M36" s="62">
        <f t="shared" si="25"/>
        <v>0.75</v>
      </c>
      <c r="N36" s="62">
        <f t="shared" si="26"/>
        <v>0.75</v>
      </c>
      <c r="O36" s="62">
        <f t="shared" si="27"/>
        <v>0.75</v>
      </c>
      <c r="P36" s="62">
        <f t="shared" si="28"/>
        <v>0.75</v>
      </c>
      <c r="Q36" s="63"/>
      <c r="R36" s="64"/>
      <c r="S36" s="65"/>
      <c r="T36" s="65"/>
    </row>
    <row r="37" spans="2:20" x14ac:dyDescent="0.15">
      <c r="B37" s="36" t="str">
        <f t="shared" si="24"/>
        <v>Central Utah Water Conservancy District</v>
      </c>
      <c r="D37" s="62">
        <v>0.75</v>
      </c>
      <c r="E37" s="62">
        <f t="shared" si="29"/>
        <v>0.75</v>
      </c>
      <c r="F37" s="62">
        <f t="shared" si="29"/>
        <v>0.75</v>
      </c>
      <c r="G37" s="62">
        <f t="shared" si="29"/>
        <v>0.75</v>
      </c>
      <c r="H37" s="62">
        <f t="shared" si="25"/>
        <v>0.75</v>
      </c>
      <c r="I37" s="62">
        <f t="shared" si="25"/>
        <v>0.75</v>
      </c>
      <c r="J37" s="62">
        <f t="shared" si="25"/>
        <v>0.75</v>
      </c>
      <c r="K37" s="62">
        <f t="shared" si="25"/>
        <v>0.75</v>
      </c>
      <c r="L37" s="62">
        <f t="shared" si="25"/>
        <v>0.75</v>
      </c>
      <c r="M37" s="62">
        <f t="shared" si="25"/>
        <v>0.75</v>
      </c>
      <c r="N37" s="62">
        <f t="shared" si="26"/>
        <v>0.75</v>
      </c>
      <c r="O37" s="62">
        <f t="shared" si="27"/>
        <v>0.75</v>
      </c>
      <c r="P37" s="62">
        <f t="shared" si="28"/>
        <v>0.75</v>
      </c>
      <c r="Q37" s="63"/>
      <c r="R37" s="64"/>
      <c r="S37" s="65"/>
      <c r="T37" s="65"/>
    </row>
    <row r="38" spans="2:20" x14ac:dyDescent="0.15">
      <c r="B38" s="124" t="s">
        <v>27</v>
      </c>
      <c r="C38" s="128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9"/>
      <c r="R38" s="123"/>
      <c r="S38" s="61"/>
      <c r="T38" s="61"/>
    </row>
    <row r="39" spans="2:20" x14ac:dyDescent="0.15">
      <c r="B39" s="36" t="s">
        <v>17</v>
      </c>
      <c r="D39" s="66" t="e">
        <f t="shared" ref="D39:M44" si="30">D22*D32</f>
        <v>#REF!</v>
      </c>
      <c r="E39" s="66" t="e">
        <f t="shared" si="30"/>
        <v>#REF!</v>
      </c>
      <c r="F39" s="66" t="e">
        <f t="shared" si="30"/>
        <v>#REF!</v>
      </c>
      <c r="G39" s="66" t="e">
        <f t="shared" si="30"/>
        <v>#REF!</v>
      </c>
      <c r="H39" s="66" t="e">
        <f t="shared" si="30"/>
        <v>#REF!</v>
      </c>
      <c r="I39" s="66" t="e">
        <f t="shared" si="30"/>
        <v>#REF!</v>
      </c>
      <c r="J39" s="66" t="e">
        <f t="shared" si="30"/>
        <v>#REF!</v>
      </c>
      <c r="K39" s="66" t="e">
        <f t="shared" si="30"/>
        <v>#REF!</v>
      </c>
      <c r="L39" s="66" t="e">
        <f t="shared" si="30"/>
        <v>#REF!</v>
      </c>
      <c r="M39" s="66" t="e">
        <f t="shared" si="30"/>
        <v>#REF!</v>
      </c>
      <c r="N39" s="66" t="e">
        <f t="shared" ref="N39:P39" si="31">N22*N32</f>
        <v>#REF!</v>
      </c>
      <c r="O39" s="66" t="e">
        <f t="shared" si="31"/>
        <v>#REF!</v>
      </c>
      <c r="P39" s="66" t="e">
        <f t="shared" si="31"/>
        <v>#REF!</v>
      </c>
      <c r="Q39" s="67" t="e">
        <f t="shared" ref="Q39:Q44" si="32">SUM(D39:P39)</f>
        <v>#REF!</v>
      </c>
      <c r="R39" s="68" t="e">
        <f t="shared" ref="R39:R44" si="33">NPV($H$2,D39:P39)</f>
        <v>#REF!</v>
      </c>
      <c r="S39" s="69"/>
      <c r="T39" s="41"/>
    </row>
    <row r="40" spans="2:20" x14ac:dyDescent="0.15">
      <c r="B40" s="36" t="s">
        <v>18</v>
      </c>
      <c r="D40" s="66" t="e">
        <f t="shared" si="30"/>
        <v>#REF!</v>
      </c>
      <c r="E40" s="66" t="e">
        <f t="shared" si="30"/>
        <v>#REF!</v>
      </c>
      <c r="F40" s="66" t="e">
        <f t="shared" si="30"/>
        <v>#REF!</v>
      </c>
      <c r="G40" s="66" t="e">
        <f t="shared" si="30"/>
        <v>#REF!</v>
      </c>
      <c r="H40" s="66" t="e">
        <f t="shared" si="30"/>
        <v>#REF!</v>
      </c>
      <c r="I40" s="66" t="e">
        <f t="shared" si="30"/>
        <v>#REF!</v>
      </c>
      <c r="J40" s="66" t="e">
        <f t="shared" si="30"/>
        <v>#REF!</v>
      </c>
      <c r="K40" s="66" t="e">
        <f t="shared" si="30"/>
        <v>#REF!</v>
      </c>
      <c r="L40" s="66" t="e">
        <f t="shared" si="30"/>
        <v>#REF!</v>
      </c>
      <c r="M40" s="66" t="e">
        <f t="shared" si="30"/>
        <v>#REF!</v>
      </c>
      <c r="N40" s="66" t="e">
        <f t="shared" ref="N40:P40" si="34">N23*N33</f>
        <v>#REF!</v>
      </c>
      <c r="O40" s="66" t="e">
        <f t="shared" si="34"/>
        <v>#REF!</v>
      </c>
      <c r="P40" s="66" t="e">
        <f t="shared" si="34"/>
        <v>#REF!</v>
      </c>
      <c r="Q40" s="67" t="e">
        <f t="shared" si="32"/>
        <v>#REF!</v>
      </c>
      <c r="R40" s="68" t="e">
        <f t="shared" si="33"/>
        <v>#REF!</v>
      </c>
      <c r="S40" s="70"/>
      <c r="T40" s="41"/>
    </row>
    <row r="41" spans="2:20" x14ac:dyDescent="0.15">
      <c r="B41" s="36" t="s">
        <v>19</v>
      </c>
      <c r="D41" s="66" t="e">
        <f t="shared" si="30"/>
        <v>#REF!</v>
      </c>
      <c r="E41" s="66" t="e">
        <f t="shared" si="30"/>
        <v>#REF!</v>
      </c>
      <c r="F41" s="66" t="e">
        <f t="shared" si="30"/>
        <v>#REF!</v>
      </c>
      <c r="G41" s="66" t="e">
        <f t="shared" si="30"/>
        <v>#REF!</v>
      </c>
      <c r="H41" s="66" t="e">
        <f t="shared" si="30"/>
        <v>#REF!</v>
      </c>
      <c r="I41" s="66" t="e">
        <f t="shared" si="30"/>
        <v>#REF!</v>
      </c>
      <c r="J41" s="66" t="e">
        <f t="shared" si="30"/>
        <v>#REF!</v>
      </c>
      <c r="K41" s="66" t="e">
        <f t="shared" si="30"/>
        <v>#REF!</v>
      </c>
      <c r="L41" s="66" t="e">
        <f t="shared" si="30"/>
        <v>#REF!</v>
      </c>
      <c r="M41" s="66" t="e">
        <f t="shared" si="30"/>
        <v>#REF!</v>
      </c>
      <c r="N41" s="66" t="e">
        <f t="shared" ref="N41:P41" si="35">N24*N34</f>
        <v>#REF!</v>
      </c>
      <c r="O41" s="66" t="e">
        <f t="shared" si="35"/>
        <v>#REF!</v>
      </c>
      <c r="P41" s="66" t="e">
        <f t="shared" si="35"/>
        <v>#REF!</v>
      </c>
      <c r="Q41" s="67" t="e">
        <f t="shared" si="32"/>
        <v>#REF!</v>
      </c>
      <c r="R41" s="68" t="e">
        <f t="shared" si="33"/>
        <v>#REF!</v>
      </c>
      <c r="S41" s="70"/>
      <c r="T41" s="41"/>
    </row>
    <row r="42" spans="2:20" x14ac:dyDescent="0.15">
      <c r="B42" s="36" t="s">
        <v>20</v>
      </c>
      <c r="D42" s="66" t="e">
        <f t="shared" si="30"/>
        <v>#REF!</v>
      </c>
      <c r="E42" s="66" t="e">
        <f t="shared" si="30"/>
        <v>#REF!</v>
      </c>
      <c r="F42" s="66" t="e">
        <f t="shared" si="30"/>
        <v>#REF!</v>
      </c>
      <c r="G42" s="66" t="e">
        <f t="shared" si="30"/>
        <v>#REF!</v>
      </c>
      <c r="H42" s="66" t="e">
        <f t="shared" si="30"/>
        <v>#REF!</v>
      </c>
      <c r="I42" s="66" t="e">
        <f t="shared" si="30"/>
        <v>#REF!</v>
      </c>
      <c r="J42" s="66" t="e">
        <f t="shared" si="30"/>
        <v>#REF!</v>
      </c>
      <c r="K42" s="66" t="e">
        <f t="shared" si="30"/>
        <v>#REF!</v>
      </c>
      <c r="L42" s="66" t="e">
        <f t="shared" si="30"/>
        <v>#REF!</v>
      </c>
      <c r="M42" s="66" t="e">
        <f t="shared" si="30"/>
        <v>#REF!</v>
      </c>
      <c r="N42" s="66" t="e">
        <f t="shared" ref="N42:P42" si="36">N25*N35</f>
        <v>#REF!</v>
      </c>
      <c r="O42" s="66" t="e">
        <f t="shared" si="36"/>
        <v>#REF!</v>
      </c>
      <c r="P42" s="66" t="e">
        <f t="shared" si="36"/>
        <v>#REF!</v>
      </c>
      <c r="Q42" s="67" t="e">
        <f t="shared" si="32"/>
        <v>#REF!</v>
      </c>
      <c r="R42" s="68" t="e">
        <f t="shared" si="33"/>
        <v>#REF!</v>
      </c>
      <c r="S42" s="70"/>
      <c r="T42" s="41"/>
    </row>
    <row r="43" spans="2:20" x14ac:dyDescent="0.15">
      <c r="B43" s="36" t="s">
        <v>21</v>
      </c>
      <c r="D43" s="66" t="e">
        <f t="shared" si="30"/>
        <v>#REF!</v>
      </c>
      <c r="E43" s="66" t="e">
        <f t="shared" si="30"/>
        <v>#REF!</v>
      </c>
      <c r="F43" s="66" t="e">
        <f t="shared" si="30"/>
        <v>#REF!</v>
      </c>
      <c r="G43" s="66" t="e">
        <f t="shared" si="30"/>
        <v>#REF!</v>
      </c>
      <c r="H43" s="66" t="e">
        <f t="shared" si="30"/>
        <v>#REF!</v>
      </c>
      <c r="I43" s="66" t="e">
        <f t="shared" si="30"/>
        <v>#REF!</v>
      </c>
      <c r="J43" s="66" t="e">
        <f t="shared" si="30"/>
        <v>#REF!</v>
      </c>
      <c r="K43" s="66" t="e">
        <f t="shared" si="30"/>
        <v>#REF!</v>
      </c>
      <c r="L43" s="66" t="e">
        <f t="shared" si="30"/>
        <v>#REF!</v>
      </c>
      <c r="M43" s="66" t="e">
        <f t="shared" si="30"/>
        <v>#REF!</v>
      </c>
      <c r="N43" s="66" t="e">
        <f t="shared" ref="N43:P43" si="37">N26*N36</f>
        <v>#REF!</v>
      </c>
      <c r="O43" s="66" t="e">
        <f t="shared" si="37"/>
        <v>#REF!</v>
      </c>
      <c r="P43" s="66" t="e">
        <f t="shared" si="37"/>
        <v>#REF!</v>
      </c>
      <c r="Q43" s="67" t="e">
        <f t="shared" si="32"/>
        <v>#REF!</v>
      </c>
      <c r="R43" s="68" t="e">
        <f t="shared" si="33"/>
        <v>#REF!</v>
      </c>
      <c r="S43" s="70"/>
      <c r="T43" s="41"/>
    </row>
    <row r="44" spans="2:20" x14ac:dyDescent="0.15">
      <c r="B44" s="36" t="s">
        <v>22</v>
      </c>
      <c r="D44" s="66" t="e">
        <f t="shared" si="30"/>
        <v>#REF!</v>
      </c>
      <c r="E44" s="66" t="e">
        <f t="shared" si="30"/>
        <v>#REF!</v>
      </c>
      <c r="F44" s="66" t="e">
        <f t="shared" si="30"/>
        <v>#REF!</v>
      </c>
      <c r="G44" s="66" t="e">
        <f t="shared" si="30"/>
        <v>#REF!</v>
      </c>
      <c r="H44" s="66" t="e">
        <f t="shared" si="30"/>
        <v>#REF!</v>
      </c>
      <c r="I44" s="66" t="e">
        <f t="shared" si="30"/>
        <v>#REF!</v>
      </c>
      <c r="J44" s="66" t="e">
        <f t="shared" si="30"/>
        <v>#REF!</v>
      </c>
      <c r="K44" s="66" t="e">
        <f t="shared" si="30"/>
        <v>#REF!</v>
      </c>
      <c r="L44" s="66" t="e">
        <f t="shared" si="30"/>
        <v>#REF!</v>
      </c>
      <c r="M44" s="66" t="e">
        <f t="shared" si="30"/>
        <v>#REF!</v>
      </c>
      <c r="N44" s="66" t="e">
        <f t="shared" ref="N44:P44" si="38">N27*N37</f>
        <v>#REF!</v>
      </c>
      <c r="O44" s="66" t="e">
        <f t="shared" si="38"/>
        <v>#REF!</v>
      </c>
      <c r="P44" s="66" t="e">
        <f t="shared" si="38"/>
        <v>#REF!</v>
      </c>
      <c r="Q44" s="67" t="e">
        <f t="shared" si="32"/>
        <v>#REF!</v>
      </c>
      <c r="R44" s="68" t="e">
        <f t="shared" si="33"/>
        <v>#REF!</v>
      </c>
      <c r="S44" s="70"/>
      <c r="T44" s="41"/>
    </row>
    <row r="45" spans="2:20" x14ac:dyDescent="0.15">
      <c r="B45" s="71" t="s">
        <v>28</v>
      </c>
      <c r="C45" s="72"/>
      <c r="D45" s="73" t="e">
        <f t="shared" ref="D45:R45" si="39">SUM(D39:D44)</f>
        <v>#REF!</v>
      </c>
      <c r="E45" s="73" t="e">
        <f t="shared" si="39"/>
        <v>#REF!</v>
      </c>
      <c r="F45" s="73" t="e">
        <f t="shared" si="39"/>
        <v>#REF!</v>
      </c>
      <c r="G45" s="73" t="e">
        <f t="shared" si="39"/>
        <v>#REF!</v>
      </c>
      <c r="H45" s="73" t="e">
        <f t="shared" si="39"/>
        <v>#REF!</v>
      </c>
      <c r="I45" s="73" t="e">
        <f t="shared" si="39"/>
        <v>#REF!</v>
      </c>
      <c r="J45" s="73" t="e">
        <f t="shared" si="39"/>
        <v>#REF!</v>
      </c>
      <c r="K45" s="73" t="e">
        <f t="shared" si="39"/>
        <v>#REF!</v>
      </c>
      <c r="L45" s="73" t="e">
        <f t="shared" si="39"/>
        <v>#REF!</v>
      </c>
      <c r="M45" s="73" t="e">
        <f t="shared" si="39"/>
        <v>#REF!</v>
      </c>
      <c r="N45" s="73" t="e">
        <f t="shared" ref="N45:P45" si="40">SUM(N39:N44)</f>
        <v>#REF!</v>
      </c>
      <c r="O45" s="73" t="e">
        <f t="shared" si="40"/>
        <v>#REF!</v>
      </c>
      <c r="P45" s="73" t="e">
        <f t="shared" si="40"/>
        <v>#REF!</v>
      </c>
      <c r="Q45" s="53" t="e">
        <f t="shared" si="39"/>
        <v>#REF!</v>
      </c>
      <c r="R45" s="74" t="e">
        <f t="shared" si="39"/>
        <v>#REF!</v>
      </c>
      <c r="S45" s="75"/>
      <c r="T45" s="41"/>
    </row>
    <row r="46" spans="2:20" x14ac:dyDescent="0.15">
      <c r="B46" s="55" t="s">
        <v>29</v>
      </c>
      <c r="C46" s="56"/>
      <c r="D46" s="29">
        <f t="shared" ref="D46:M46" si="41">D29</f>
        <v>2026</v>
      </c>
      <c r="E46" s="29">
        <f t="shared" si="41"/>
        <v>2027</v>
      </c>
      <c r="F46" s="29">
        <f t="shared" si="41"/>
        <v>2028</v>
      </c>
      <c r="G46" s="29">
        <f t="shared" si="41"/>
        <v>2029</v>
      </c>
      <c r="H46" s="29">
        <f t="shared" si="41"/>
        <v>2030</v>
      </c>
      <c r="I46" s="29">
        <f t="shared" si="41"/>
        <v>2031</v>
      </c>
      <c r="J46" s="29">
        <f t="shared" si="41"/>
        <v>2032</v>
      </c>
      <c r="K46" s="29">
        <f t="shared" si="41"/>
        <v>2033</v>
      </c>
      <c r="L46" s="29">
        <f t="shared" si="41"/>
        <v>2034</v>
      </c>
      <c r="M46" s="29">
        <f t="shared" si="41"/>
        <v>2035</v>
      </c>
      <c r="N46" s="29">
        <f t="shared" ref="N46:P46" si="42">N29</f>
        <v>2036</v>
      </c>
      <c r="O46" s="29">
        <f t="shared" si="42"/>
        <v>2037</v>
      </c>
      <c r="P46" s="29">
        <f t="shared" si="42"/>
        <v>2038</v>
      </c>
      <c r="Q46" s="76" t="s">
        <v>9</v>
      </c>
      <c r="R46" s="77" t="s">
        <v>10</v>
      </c>
      <c r="S46" s="78"/>
      <c r="T46" s="78"/>
    </row>
    <row r="47" spans="2:20" ht="13.5" customHeight="1" x14ac:dyDescent="0.15">
      <c r="B47" s="79" t="s">
        <v>30</v>
      </c>
      <c r="C47" s="80">
        <v>0.05</v>
      </c>
      <c r="D47" s="81" t="e">
        <f>D45*$C$47</f>
        <v>#REF!</v>
      </c>
      <c r="E47" s="81" t="e">
        <f t="shared" ref="E47:M47" si="43">E45*$C$47</f>
        <v>#REF!</v>
      </c>
      <c r="F47" s="81" t="e">
        <f t="shared" si="43"/>
        <v>#REF!</v>
      </c>
      <c r="G47" s="81" t="e">
        <f t="shared" si="43"/>
        <v>#REF!</v>
      </c>
      <c r="H47" s="81" t="e">
        <f t="shared" si="43"/>
        <v>#REF!</v>
      </c>
      <c r="I47" s="81" t="e">
        <f t="shared" si="43"/>
        <v>#REF!</v>
      </c>
      <c r="J47" s="81" t="e">
        <f t="shared" si="43"/>
        <v>#REF!</v>
      </c>
      <c r="K47" s="81" t="e">
        <f t="shared" si="43"/>
        <v>#REF!</v>
      </c>
      <c r="L47" s="81" t="e">
        <f t="shared" si="43"/>
        <v>#REF!</v>
      </c>
      <c r="M47" s="81" t="e">
        <f t="shared" si="43"/>
        <v>#REF!</v>
      </c>
      <c r="N47" s="81" t="e">
        <f t="shared" ref="N47:P47" si="44">N45*$C$47</f>
        <v>#REF!</v>
      </c>
      <c r="O47" s="81" t="e">
        <f t="shared" si="44"/>
        <v>#REF!</v>
      </c>
      <c r="P47" s="81" t="e">
        <f t="shared" si="44"/>
        <v>#REF!</v>
      </c>
      <c r="Q47" s="82" t="e">
        <f>SUM(D47:P47)</f>
        <v>#REF!</v>
      </c>
      <c r="R47" s="83" t="e">
        <f>NPV($H$2,D47:P47)</f>
        <v>#REF!</v>
      </c>
      <c r="S47" s="75"/>
      <c r="T47" s="41"/>
    </row>
    <row r="48" spans="2:20" x14ac:dyDescent="0.15">
      <c r="B48" s="36" t="s">
        <v>57</v>
      </c>
      <c r="C48" s="80">
        <v>0.2</v>
      </c>
      <c r="D48" s="81" t="e">
        <f>D45*$C$48</f>
        <v>#REF!</v>
      </c>
      <c r="E48" s="81" t="e">
        <f t="shared" ref="E48:M48" si="45">E45*$C$48</f>
        <v>#REF!</v>
      </c>
      <c r="F48" s="81" t="e">
        <f t="shared" si="45"/>
        <v>#REF!</v>
      </c>
      <c r="G48" s="81" t="e">
        <f t="shared" si="45"/>
        <v>#REF!</v>
      </c>
      <c r="H48" s="81" t="e">
        <f t="shared" si="45"/>
        <v>#REF!</v>
      </c>
      <c r="I48" s="81" t="e">
        <f t="shared" si="45"/>
        <v>#REF!</v>
      </c>
      <c r="J48" s="81" t="e">
        <f t="shared" si="45"/>
        <v>#REF!</v>
      </c>
      <c r="K48" s="81" t="e">
        <f t="shared" si="45"/>
        <v>#REF!</v>
      </c>
      <c r="L48" s="81" t="e">
        <f t="shared" si="45"/>
        <v>#REF!</v>
      </c>
      <c r="M48" s="81" t="e">
        <f t="shared" si="45"/>
        <v>#REF!</v>
      </c>
      <c r="N48" s="81" t="e">
        <f t="shared" ref="N48:P48" si="46">N45*$C$48</f>
        <v>#REF!</v>
      </c>
      <c r="O48" s="81" t="e">
        <f t="shared" si="46"/>
        <v>#REF!</v>
      </c>
      <c r="P48" s="81" t="e">
        <f t="shared" si="46"/>
        <v>#REF!</v>
      </c>
      <c r="Q48" s="82" t="e">
        <f>SUM(D48:P48)</f>
        <v>#REF!</v>
      </c>
      <c r="R48" s="83" t="e">
        <f>NPV($H$2,D48:P48)</f>
        <v>#REF!</v>
      </c>
      <c r="S48" s="75"/>
      <c r="T48" s="41"/>
    </row>
    <row r="49" spans="2:20" x14ac:dyDescent="0.15">
      <c r="B49" s="36" t="s">
        <v>31</v>
      </c>
      <c r="C49" s="80">
        <v>0.75</v>
      </c>
      <c r="D49" s="81" t="e">
        <f>$C$49*D45</f>
        <v>#REF!</v>
      </c>
      <c r="E49" s="81" t="e">
        <f t="shared" ref="E49:M49" si="47">$C$49*E45</f>
        <v>#REF!</v>
      </c>
      <c r="F49" s="81" t="e">
        <f t="shared" si="47"/>
        <v>#REF!</v>
      </c>
      <c r="G49" s="81" t="e">
        <f t="shared" si="47"/>
        <v>#REF!</v>
      </c>
      <c r="H49" s="81" t="e">
        <f t="shared" si="47"/>
        <v>#REF!</v>
      </c>
      <c r="I49" s="81" t="e">
        <f t="shared" si="47"/>
        <v>#REF!</v>
      </c>
      <c r="J49" s="81" t="e">
        <f t="shared" si="47"/>
        <v>#REF!</v>
      </c>
      <c r="K49" s="81" t="e">
        <f t="shared" si="47"/>
        <v>#REF!</v>
      </c>
      <c r="L49" s="81" t="e">
        <f t="shared" si="47"/>
        <v>#REF!</v>
      </c>
      <c r="M49" s="81" t="e">
        <f t="shared" si="47"/>
        <v>#REF!</v>
      </c>
      <c r="N49" s="81" t="e">
        <f t="shared" ref="N49:P49" si="48">$C$49*N45</f>
        <v>#REF!</v>
      </c>
      <c r="O49" s="81" t="e">
        <f t="shared" si="48"/>
        <v>#REF!</v>
      </c>
      <c r="P49" s="81" t="e">
        <f t="shared" si="48"/>
        <v>#REF!</v>
      </c>
      <c r="Q49" s="82" t="e">
        <f>SUM(D49:P49)</f>
        <v>#REF!</v>
      </c>
      <c r="R49" s="83" t="e">
        <f>NPV($H$2,D49:P49)</f>
        <v>#REF!</v>
      </c>
      <c r="S49" s="75"/>
      <c r="T49" s="41"/>
    </row>
    <row r="50" spans="2:20" x14ac:dyDescent="0.15">
      <c r="B50" s="71" t="s">
        <v>32</v>
      </c>
      <c r="C50" s="72"/>
      <c r="D50" s="84" t="e">
        <f t="shared" ref="D50:M50" si="49">SUM(D47:D49)</f>
        <v>#REF!</v>
      </c>
      <c r="E50" s="84" t="e">
        <f t="shared" si="49"/>
        <v>#REF!</v>
      </c>
      <c r="F50" s="84" t="e">
        <f t="shared" si="49"/>
        <v>#REF!</v>
      </c>
      <c r="G50" s="84" t="e">
        <f t="shared" si="49"/>
        <v>#REF!</v>
      </c>
      <c r="H50" s="84" t="e">
        <f t="shared" si="49"/>
        <v>#REF!</v>
      </c>
      <c r="I50" s="84" t="e">
        <f t="shared" si="49"/>
        <v>#REF!</v>
      </c>
      <c r="J50" s="84" t="e">
        <f t="shared" si="49"/>
        <v>#REF!</v>
      </c>
      <c r="K50" s="84" t="e">
        <f t="shared" si="49"/>
        <v>#REF!</v>
      </c>
      <c r="L50" s="84" t="e">
        <f t="shared" si="49"/>
        <v>#REF!</v>
      </c>
      <c r="M50" s="84" t="e">
        <f t="shared" si="49"/>
        <v>#REF!</v>
      </c>
      <c r="N50" s="84" t="e">
        <f t="shared" ref="N50:P50" si="50">SUM(N47:N49)</f>
        <v>#REF!</v>
      </c>
      <c r="O50" s="84" t="e">
        <f t="shared" si="50"/>
        <v>#REF!</v>
      </c>
      <c r="P50" s="84" t="e">
        <f t="shared" si="50"/>
        <v>#REF!</v>
      </c>
      <c r="Q50" s="85" t="e">
        <f>SUM(D50:P50)</f>
        <v>#REF!</v>
      </c>
      <c r="R50" s="86" t="e">
        <f>NPV($H$2,D50:P50)</f>
        <v>#REF!</v>
      </c>
      <c r="S50" s="41"/>
      <c r="T50" s="41"/>
    </row>
    <row r="51" spans="2:20" x14ac:dyDescent="0.15">
      <c r="B51" s="87" t="s">
        <v>33</v>
      </c>
      <c r="C51" s="56"/>
      <c r="D51" s="29">
        <f t="shared" ref="D51:M51" si="51">D46</f>
        <v>2026</v>
      </c>
      <c r="E51" s="29">
        <f t="shared" si="51"/>
        <v>2027</v>
      </c>
      <c r="F51" s="29">
        <f t="shared" si="51"/>
        <v>2028</v>
      </c>
      <c r="G51" s="29">
        <f t="shared" si="51"/>
        <v>2029</v>
      </c>
      <c r="H51" s="29">
        <f t="shared" si="51"/>
        <v>2030</v>
      </c>
      <c r="I51" s="29">
        <f t="shared" si="51"/>
        <v>2031</v>
      </c>
      <c r="J51" s="29">
        <f t="shared" si="51"/>
        <v>2032</v>
      </c>
      <c r="K51" s="29">
        <f t="shared" si="51"/>
        <v>2033</v>
      </c>
      <c r="L51" s="29">
        <f t="shared" si="51"/>
        <v>2034</v>
      </c>
      <c r="M51" s="29">
        <f t="shared" si="51"/>
        <v>2035</v>
      </c>
      <c r="N51" s="29">
        <f t="shared" ref="N51:P51" si="52">N46</f>
        <v>2036</v>
      </c>
      <c r="O51" s="29">
        <f t="shared" si="52"/>
        <v>2037</v>
      </c>
      <c r="P51" s="29">
        <f t="shared" si="52"/>
        <v>2038</v>
      </c>
      <c r="Q51" s="76" t="s">
        <v>9</v>
      </c>
      <c r="R51" s="77" t="s">
        <v>10</v>
      </c>
      <c r="S51" s="78"/>
      <c r="T51" s="78"/>
    </row>
    <row r="52" spans="2:20" x14ac:dyDescent="0.15">
      <c r="B52" s="36" t="s">
        <v>17</v>
      </c>
      <c r="D52" s="18" t="e">
        <f t="shared" ref="D52:M57" si="53">D22-D39</f>
        <v>#REF!</v>
      </c>
      <c r="E52" s="18" t="e">
        <f t="shared" si="53"/>
        <v>#REF!</v>
      </c>
      <c r="F52" s="18" t="e">
        <f t="shared" si="53"/>
        <v>#REF!</v>
      </c>
      <c r="G52" s="18" t="e">
        <f t="shared" si="53"/>
        <v>#REF!</v>
      </c>
      <c r="H52" s="18" t="e">
        <f t="shared" si="53"/>
        <v>#REF!</v>
      </c>
      <c r="I52" s="18" t="e">
        <f t="shared" si="53"/>
        <v>#REF!</v>
      </c>
      <c r="J52" s="18" t="e">
        <f t="shared" si="53"/>
        <v>#REF!</v>
      </c>
      <c r="K52" s="18" t="e">
        <f t="shared" si="53"/>
        <v>#REF!</v>
      </c>
      <c r="L52" s="18" t="e">
        <f t="shared" si="53"/>
        <v>#REF!</v>
      </c>
      <c r="M52" s="18" t="e">
        <f t="shared" si="53"/>
        <v>#REF!</v>
      </c>
      <c r="N52" s="18" t="e">
        <f t="shared" ref="N52:P52" si="54">N22-N39</f>
        <v>#REF!</v>
      </c>
      <c r="O52" s="18" t="e">
        <f t="shared" si="54"/>
        <v>#REF!</v>
      </c>
      <c r="P52" s="18" t="e">
        <f t="shared" si="54"/>
        <v>#REF!</v>
      </c>
      <c r="Q52" s="88" t="e">
        <f t="shared" ref="Q52:Q57" si="55">SUM(D52:P52)</f>
        <v>#REF!</v>
      </c>
      <c r="R52" s="68" t="e">
        <f t="shared" ref="R52:R57" si="56">NPV($H$2,D52:P52)</f>
        <v>#REF!</v>
      </c>
      <c r="S52" s="75"/>
      <c r="T52" s="41"/>
    </row>
    <row r="53" spans="2:20" x14ac:dyDescent="0.15">
      <c r="B53" s="36" t="s">
        <v>18</v>
      </c>
      <c r="D53" s="18" t="e">
        <f t="shared" si="53"/>
        <v>#REF!</v>
      </c>
      <c r="E53" s="18" t="e">
        <f t="shared" si="53"/>
        <v>#REF!</v>
      </c>
      <c r="F53" s="18" t="e">
        <f t="shared" si="53"/>
        <v>#REF!</v>
      </c>
      <c r="G53" s="18" t="e">
        <f t="shared" si="53"/>
        <v>#REF!</v>
      </c>
      <c r="H53" s="18" t="e">
        <f t="shared" si="53"/>
        <v>#REF!</v>
      </c>
      <c r="I53" s="18" t="e">
        <f t="shared" si="53"/>
        <v>#REF!</v>
      </c>
      <c r="J53" s="18" t="e">
        <f t="shared" si="53"/>
        <v>#REF!</v>
      </c>
      <c r="K53" s="18" t="e">
        <f t="shared" si="53"/>
        <v>#REF!</v>
      </c>
      <c r="L53" s="18" t="e">
        <f t="shared" si="53"/>
        <v>#REF!</v>
      </c>
      <c r="M53" s="18" t="e">
        <f t="shared" si="53"/>
        <v>#REF!</v>
      </c>
      <c r="N53" s="18" t="e">
        <f t="shared" ref="N53:P53" si="57">N23-N40</f>
        <v>#REF!</v>
      </c>
      <c r="O53" s="18" t="e">
        <f t="shared" si="57"/>
        <v>#REF!</v>
      </c>
      <c r="P53" s="18" t="e">
        <f t="shared" si="57"/>
        <v>#REF!</v>
      </c>
      <c r="Q53" s="88" t="e">
        <f t="shared" si="55"/>
        <v>#REF!</v>
      </c>
      <c r="R53" s="68" t="e">
        <f t="shared" si="56"/>
        <v>#REF!</v>
      </c>
      <c r="S53" s="75"/>
      <c r="T53" s="41"/>
    </row>
    <row r="54" spans="2:20" x14ac:dyDescent="0.15">
      <c r="B54" s="36" t="s">
        <v>19</v>
      </c>
      <c r="D54" s="18" t="e">
        <f t="shared" si="53"/>
        <v>#REF!</v>
      </c>
      <c r="E54" s="18" t="e">
        <f t="shared" si="53"/>
        <v>#REF!</v>
      </c>
      <c r="F54" s="18" t="e">
        <f t="shared" si="53"/>
        <v>#REF!</v>
      </c>
      <c r="G54" s="18" t="e">
        <f t="shared" si="53"/>
        <v>#REF!</v>
      </c>
      <c r="H54" s="18" t="e">
        <f t="shared" si="53"/>
        <v>#REF!</v>
      </c>
      <c r="I54" s="18" t="e">
        <f t="shared" si="53"/>
        <v>#REF!</v>
      </c>
      <c r="J54" s="18" t="e">
        <f t="shared" si="53"/>
        <v>#REF!</v>
      </c>
      <c r="K54" s="18" t="e">
        <f t="shared" si="53"/>
        <v>#REF!</v>
      </c>
      <c r="L54" s="18" t="e">
        <f t="shared" si="53"/>
        <v>#REF!</v>
      </c>
      <c r="M54" s="18" t="e">
        <f t="shared" si="53"/>
        <v>#REF!</v>
      </c>
      <c r="N54" s="18" t="e">
        <f t="shared" ref="N54:P54" si="58">N24-N41</f>
        <v>#REF!</v>
      </c>
      <c r="O54" s="18" t="e">
        <f t="shared" si="58"/>
        <v>#REF!</v>
      </c>
      <c r="P54" s="18" t="e">
        <f t="shared" si="58"/>
        <v>#REF!</v>
      </c>
      <c r="Q54" s="88" t="e">
        <f t="shared" si="55"/>
        <v>#REF!</v>
      </c>
      <c r="R54" s="68" t="e">
        <f t="shared" si="56"/>
        <v>#REF!</v>
      </c>
      <c r="S54" s="75"/>
      <c r="T54" s="41"/>
    </row>
    <row r="55" spans="2:20" x14ac:dyDescent="0.15">
      <c r="B55" s="36" t="s">
        <v>20</v>
      </c>
      <c r="D55" s="18" t="e">
        <f t="shared" si="53"/>
        <v>#REF!</v>
      </c>
      <c r="E55" s="18" t="e">
        <f t="shared" si="53"/>
        <v>#REF!</v>
      </c>
      <c r="F55" s="18" t="e">
        <f t="shared" si="53"/>
        <v>#REF!</v>
      </c>
      <c r="G55" s="18" t="e">
        <f t="shared" si="53"/>
        <v>#REF!</v>
      </c>
      <c r="H55" s="18" t="e">
        <f t="shared" si="53"/>
        <v>#REF!</v>
      </c>
      <c r="I55" s="18" t="e">
        <f t="shared" si="53"/>
        <v>#REF!</v>
      </c>
      <c r="J55" s="18" t="e">
        <f t="shared" si="53"/>
        <v>#REF!</v>
      </c>
      <c r="K55" s="18" t="e">
        <f t="shared" si="53"/>
        <v>#REF!</v>
      </c>
      <c r="L55" s="18" t="e">
        <f t="shared" si="53"/>
        <v>#REF!</v>
      </c>
      <c r="M55" s="18" t="e">
        <f t="shared" si="53"/>
        <v>#REF!</v>
      </c>
      <c r="N55" s="18" t="e">
        <f t="shared" ref="N55:P55" si="59">N25-N42</f>
        <v>#REF!</v>
      </c>
      <c r="O55" s="18" t="e">
        <f t="shared" si="59"/>
        <v>#REF!</v>
      </c>
      <c r="P55" s="18" t="e">
        <f t="shared" si="59"/>
        <v>#REF!</v>
      </c>
      <c r="Q55" s="88" t="e">
        <f t="shared" si="55"/>
        <v>#REF!</v>
      </c>
      <c r="R55" s="68" t="e">
        <f t="shared" si="56"/>
        <v>#REF!</v>
      </c>
      <c r="S55" s="75"/>
      <c r="T55" s="41"/>
    </row>
    <row r="56" spans="2:20" x14ac:dyDescent="0.15">
      <c r="B56" s="36" t="s">
        <v>21</v>
      </c>
      <c r="D56" s="18" t="e">
        <f t="shared" si="53"/>
        <v>#REF!</v>
      </c>
      <c r="E56" s="18" t="e">
        <f t="shared" si="53"/>
        <v>#REF!</v>
      </c>
      <c r="F56" s="18" t="e">
        <f t="shared" si="53"/>
        <v>#REF!</v>
      </c>
      <c r="G56" s="18" t="e">
        <f t="shared" si="53"/>
        <v>#REF!</v>
      </c>
      <c r="H56" s="18" t="e">
        <f t="shared" si="53"/>
        <v>#REF!</v>
      </c>
      <c r="I56" s="18" t="e">
        <f t="shared" si="53"/>
        <v>#REF!</v>
      </c>
      <c r="J56" s="18" t="e">
        <f t="shared" si="53"/>
        <v>#REF!</v>
      </c>
      <c r="K56" s="18" t="e">
        <f t="shared" si="53"/>
        <v>#REF!</v>
      </c>
      <c r="L56" s="18" t="e">
        <f t="shared" si="53"/>
        <v>#REF!</v>
      </c>
      <c r="M56" s="18" t="e">
        <f t="shared" si="53"/>
        <v>#REF!</v>
      </c>
      <c r="N56" s="18" t="e">
        <f t="shared" ref="N56:P56" si="60">N26-N43</f>
        <v>#REF!</v>
      </c>
      <c r="O56" s="18" t="e">
        <f t="shared" si="60"/>
        <v>#REF!</v>
      </c>
      <c r="P56" s="18" t="e">
        <f t="shared" si="60"/>
        <v>#REF!</v>
      </c>
      <c r="Q56" s="88" t="e">
        <f t="shared" si="55"/>
        <v>#REF!</v>
      </c>
      <c r="R56" s="68" t="e">
        <f t="shared" si="56"/>
        <v>#REF!</v>
      </c>
      <c r="S56" s="75"/>
      <c r="T56" s="41"/>
    </row>
    <row r="57" spans="2:20" x14ac:dyDescent="0.15">
      <c r="B57" s="36" t="s">
        <v>22</v>
      </c>
      <c r="D57" s="18" t="e">
        <f t="shared" si="53"/>
        <v>#REF!</v>
      </c>
      <c r="E57" s="18" t="e">
        <f t="shared" si="53"/>
        <v>#REF!</v>
      </c>
      <c r="F57" s="18" t="e">
        <f t="shared" si="53"/>
        <v>#REF!</v>
      </c>
      <c r="G57" s="18" t="e">
        <f t="shared" si="53"/>
        <v>#REF!</v>
      </c>
      <c r="H57" s="18" t="e">
        <f t="shared" si="53"/>
        <v>#REF!</v>
      </c>
      <c r="I57" s="18" t="e">
        <f t="shared" si="53"/>
        <v>#REF!</v>
      </c>
      <c r="J57" s="18" t="e">
        <f t="shared" si="53"/>
        <v>#REF!</v>
      </c>
      <c r="K57" s="18" t="e">
        <f t="shared" si="53"/>
        <v>#REF!</v>
      </c>
      <c r="L57" s="18" t="e">
        <f t="shared" si="53"/>
        <v>#REF!</v>
      </c>
      <c r="M57" s="18" t="e">
        <f t="shared" si="53"/>
        <v>#REF!</v>
      </c>
      <c r="N57" s="18" t="e">
        <f t="shared" ref="N57:P57" si="61">N27-N44</f>
        <v>#REF!</v>
      </c>
      <c r="O57" s="18" t="e">
        <f t="shared" si="61"/>
        <v>#REF!</v>
      </c>
      <c r="P57" s="18" t="e">
        <f t="shared" si="61"/>
        <v>#REF!</v>
      </c>
      <c r="Q57" s="88" t="e">
        <f t="shared" si="55"/>
        <v>#REF!</v>
      </c>
      <c r="R57" s="68" t="e">
        <f t="shared" si="56"/>
        <v>#REF!</v>
      </c>
      <c r="S57" s="75"/>
      <c r="T57" s="41"/>
    </row>
    <row r="58" spans="2:20" x14ac:dyDescent="0.15">
      <c r="B58" s="71" t="s">
        <v>34</v>
      </c>
      <c r="C58" s="72"/>
      <c r="D58" s="89" t="e">
        <f t="shared" ref="D58:R58" si="62">SUM(D52:D57)</f>
        <v>#REF!</v>
      </c>
      <c r="E58" s="89" t="e">
        <f t="shared" si="62"/>
        <v>#REF!</v>
      </c>
      <c r="F58" s="89" t="e">
        <f t="shared" si="62"/>
        <v>#REF!</v>
      </c>
      <c r="G58" s="89" t="e">
        <f t="shared" si="62"/>
        <v>#REF!</v>
      </c>
      <c r="H58" s="89" t="e">
        <f t="shared" si="62"/>
        <v>#REF!</v>
      </c>
      <c r="I58" s="89" t="e">
        <f t="shared" si="62"/>
        <v>#REF!</v>
      </c>
      <c r="J58" s="89" t="e">
        <f t="shared" si="62"/>
        <v>#REF!</v>
      </c>
      <c r="K58" s="89" t="e">
        <f t="shared" si="62"/>
        <v>#REF!</v>
      </c>
      <c r="L58" s="89" t="e">
        <f t="shared" si="62"/>
        <v>#REF!</v>
      </c>
      <c r="M58" s="89" t="e">
        <f t="shared" si="62"/>
        <v>#REF!</v>
      </c>
      <c r="N58" s="89" t="e">
        <f t="shared" ref="N58:P58" si="63">SUM(N52:N57)</f>
        <v>#REF!</v>
      </c>
      <c r="O58" s="89" t="e">
        <f t="shared" si="63"/>
        <v>#REF!</v>
      </c>
      <c r="P58" s="89" t="e">
        <f t="shared" si="63"/>
        <v>#REF!</v>
      </c>
      <c r="Q58" s="53" t="e">
        <f t="shared" si="62"/>
        <v>#REF!</v>
      </c>
      <c r="R58" s="74" t="e">
        <f t="shared" si="62"/>
        <v>#REF!</v>
      </c>
      <c r="S58" s="75"/>
      <c r="T58" s="41"/>
    </row>
    <row r="60" spans="2:20" hidden="1" outlineLevel="1" x14ac:dyDescent="0.15">
      <c r="B60" s="87" t="s">
        <v>35</v>
      </c>
      <c r="C60" s="56"/>
      <c r="D60" s="29">
        <f t="shared" ref="D60:M60" si="64">D51</f>
        <v>2026</v>
      </c>
      <c r="E60" s="29">
        <f t="shared" si="64"/>
        <v>2027</v>
      </c>
      <c r="F60" s="29">
        <f t="shared" si="64"/>
        <v>2028</v>
      </c>
      <c r="G60" s="29">
        <f t="shared" si="64"/>
        <v>2029</v>
      </c>
      <c r="H60" s="29">
        <f t="shared" si="64"/>
        <v>2030</v>
      </c>
      <c r="I60" s="29">
        <f t="shared" si="64"/>
        <v>2031</v>
      </c>
      <c r="J60" s="29">
        <f t="shared" si="64"/>
        <v>2032</v>
      </c>
      <c r="K60" s="29">
        <f t="shared" si="64"/>
        <v>2033</v>
      </c>
      <c r="L60" s="29">
        <f t="shared" si="64"/>
        <v>2034</v>
      </c>
      <c r="M60" s="29">
        <f t="shared" si="64"/>
        <v>2035</v>
      </c>
      <c r="N60" s="29">
        <f t="shared" ref="N60:P60" si="65">N51</f>
        <v>2036</v>
      </c>
      <c r="O60" s="29">
        <f t="shared" si="65"/>
        <v>2037</v>
      </c>
      <c r="P60" s="29">
        <f t="shared" si="65"/>
        <v>2038</v>
      </c>
      <c r="Q60" s="76" t="s">
        <v>9</v>
      </c>
      <c r="R60" s="77" t="s">
        <v>10</v>
      </c>
    </row>
    <row r="61" spans="2:20" hidden="1" outlineLevel="1" x14ac:dyDescent="0.15">
      <c r="B61" s="36" t="s">
        <v>17</v>
      </c>
      <c r="D61" s="18">
        <f t="shared" ref="D61:P61" si="66">$H$6*$C$22</f>
        <v>39765.344095</v>
      </c>
      <c r="E61" s="18">
        <f t="shared" si="66"/>
        <v>39765.344095</v>
      </c>
      <c r="F61" s="18">
        <f t="shared" si="66"/>
        <v>39765.344095</v>
      </c>
      <c r="G61" s="18">
        <f t="shared" si="66"/>
        <v>39765.344095</v>
      </c>
      <c r="H61" s="18">
        <f t="shared" si="66"/>
        <v>39765.344095</v>
      </c>
      <c r="I61" s="18">
        <f t="shared" si="66"/>
        <v>39765.344095</v>
      </c>
      <c r="J61" s="18">
        <f t="shared" si="66"/>
        <v>39765.344095</v>
      </c>
      <c r="K61" s="18">
        <f t="shared" si="66"/>
        <v>39765.344095</v>
      </c>
      <c r="L61" s="18">
        <f t="shared" si="66"/>
        <v>39765.344095</v>
      </c>
      <c r="M61" s="18">
        <f t="shared" si="66"/>
        <v>39765.344095</v>
      </c>
      <c r="N61" s="18">
        <f t="shared" si="66"/>
        <v>39765.344095</v>
      </c>
      <c r="O61" s="18">
        <f t="shared" si="66"/>
        <v>39765.344095</v>
      </c>
      <c r="P61" s="18">
        <f t="shared" si="66"/>
        <v>39765.344095</v>
      </c>
      <c r="Q61" s="88">
        <f t="shared" ref="Q61:Q66" si="67">SUM(D61:P61)</f>
        <v>516949.47323500004</v>
      </c>
      <c r="R61" s="68">
        <f t="shared" ref="R61:R66" si="68">NPV($H$2,D61:P61)</f>
        <v>341971.70300951682</v>
      </c>
    </row>
    <row r="62" spans="2:20" hidden="1" outlineLevel="1" x14ac:dyDescent="0.15">
      <c r="B62" s="36" t="s">
        <v>18</v>
      </c>
      <c r="D62" s="18">
        <f t="shared" ref="D62:P62" si="69">$H$6*$C$23</f>
        <v>10520.50913</v>
      </c>
      <c r="E62" s="18">
        <f t="shared" si="69"/>
        <v>10520.50913</v>
      </c>
      <c r="F62" s="18">
        <f t="shared" si="69"/>
        <v>10520.50913</v>
      </c>
      <c r="G62" s="18">
        <f t="shared" si="69"/>
        <v>10520.50913</v>
      </c>
      <c r="H62" s="18">
        <f t="shared" si="69"/>
        <v>10520.50913</v>
      </c>
      <c r="I62" s="18">
        <f t="shared" si="69"/>
        <v>10520.50913</v>
      </c>
      <c r="J62" s="18">
        <f t="shared" si="69"/>
        <v>10520.50913</v>
      </c>
      <c r="K62" s="18">
        <f t="shared" si="69"/>
        <v>10520.50913</v>
      </c>
      <c r="L62" s="18">
        <f t="shared" si="69"/>
        <v>10520.50913</v>
      </c>
      <c r="M62" s="18">
        <f t="shared" si="69"/>
        <v>10520.50913</v>
      </c>
      <c r="N62" s="18">
        <f t="shared" si="69"/>
        <v>10520.50913</v>
      </c>
      <c r="O62" s="18">
        <f t="shared" si="69"/>
        <v>10520.50913</v>
      </c>
      <c r="P62" s="18">
        <f t="shared" si="69"/>
        <v>10520.50913</v>
      </c>
      <c r="Q62" s="88">
        <f t="shared" si="67"/>
        <v>136766.61869000003</v>
      </c>
      <c r="R62" s="68">
        <f t="shared" si="68"/>
        <v>90473.665086822119</v>
      </c>
    </row>
    <row r="63" spans="2:20" hidden="1" outlineLevel="1" x14ac:dyDescent="0.15">
      <c r="B63" s="36" t="s">
        <v>19</v>
      </c>
      <c r="D63" s="18">
        <f t="shared" ref="D63:P63" si="70">$H$6*$C$24</f>
        <v>172007.59875499998</v>
      </c>
      <c r="E63" s="18">
        <f t="shared" si="70"/>
        <v>172007.59875499998</v>
      </c>
      <c r="F63" s="18">
        <f t="shared" si="70"/>
        <v>172007.59875499998</v>
      </c>
      <c r="G63" s="18">
        <f t="shared" si="70"/>
        <v>172007.59875499998</v>
      </c>
      <c r="H63" s="18">
        <f t="shared" si="70"/>
        <v>172007.59875499998</v>
      </c>
      <c r="I63" s="18">
        <f t="shared" si="70"/>
        <v>172007.59875499998</v>
      </c>
      <c r="J63" s="18">
        <f t="shared" si="70"/>
        <v>172007.59875499998</v>
      </c>
      <c r="K63" s="18">
        <f t="shared" si="70"/>
        <v>172007.59875499998</v>
      </c>
      <c r="L63" s="18">
        <f t="shared" si="70"/>
        <v>172007.59875499998</v>
      </c>
      <c r="M63" s="18">
        <f t="shared" si="70"/>
        <v>172007.59875499998</v>
      </c>
      <c r="N63" s="18">
        <f t="shared" si="70"/>
        <v>172007.59875499998</v>
      </c>
      <c r="O63" s="18">
        <f t="shared" si="70"/>
        <v>172007.59875499998</v>
      </c>
      <c r="P63" s="18">
        <f t="shared" si="70"/>
        <v>172007.59875499998</v>
      </c>
      <c r="Q63" s="88">
        <f t="shared" si="67"/>
        <v>2236098.7838149993</v>
      </c>
      <c r="R63" s="68">
        <f t="shared" si="68"/>
        <v>1479220.9853962029</v>
      </c>
    </row>
    <row r="64" spans="2:20" hidden="1" outlineLevel="1" x14ac:dyDescent="0.15">
      <c r="B64" s="36" t="s">
        <v>20</v>
      </c>
      <c r="D64" s="18">
        <f t="shared" ref="D64:P64" si="71">$H$6*$C$25</f>
        <v>69909.600825000001</v>
      </c>
      <c r="E64" s="18">
        <f t="shared" si="71"/>
        <v>69909.600825000001</v>
      </c>
      <c r="F64" s="18">
        <f t="shared" si="71"/>
        <v>69909.600825000001</v>
      </c>
      <c r="G64" s="18">
        <f t="shared" si="71"/>
        <v>69909.600825000001</v>
      </c>
      <c r="H64" s="18">
        <f t="shared" si="71"/>
        <v>69909.600825000001</v>
      </c>
      <c r="I64" s="18">
        <f t="shared" si="71"/>
        <v>69909.600825000001</v>
      </c>
      <c r="J64" s="18">
        <f t="shared" si="71"/>
        <v>69909.600825000001</v>
      </c>
      <c r="K64" s="18">
        <f t="shared" si="71"/>
        <v>69909.600825000001</v>
      </c>
      <c r="L64" s="18">
        <f t="shared" si="71"/>
        <v>69909.600825000001</v>
      </c>
      <c r="M64" s="18">
        <f t="shared" si="71"/>
        <v>69909.600825000001</v>
      </c>
      <c r="N64" s="18">
        <f t="shared" si="71"/>
        <v>69909.600825000001</v>
      </c>
      <c r="O64" s="18">
        <f t="shared" si="71"/>
        <v>69909.600825000001</v>
      </c>
      <c r="P64" s="18">
        <f t="shared" si="71"/>
        <v>69909.600825000001</v>
      </c>
      <c r="Q64" s="88">
        <f t="shared" si="67"/>
        <v>908824.81072499976</v>
      </c>
      <c r="R64" s="68">
        <f t="shared" si="68"/>
        <v>601204.53613393451</v>
      </c>
    </row>
    <row r="65" spans="2:18" hidden="1" outlineLevel="1" x14ac:dyDescent="0.15">
      <c r="B65" s="36" t="s">
        <v>21</v>
      </c>
      <c r="D65" s="18">
        <f t="shared" ref="D65:P65" si="72">$H$6*$C$26</f>
        <v>245.29684500000002</v>
      </c>
      <c r="E65" s="18">
        <f t="shared" si="72"/>
        <v>245.29684500000002</v>
      </c>
      <c r="F65" s="18">
        <f t="shared" si="72"/>
        <v>245.29684500000002</v>
      </c>
      <c r="G65" s="18">
        <f t="shared" si="72"/>
        <v>245.29684500000002</v>
      </c>
      <c r="H65" s="18">
        <f t="shared" si="72"/>
        <v>245.29684500000002</v>
      </c>
      <c r="I65" s="18">
        <f t="shared" si="72"/>
        <v>245.29684500000002</v>
      </c>
      <c r="J65" s="18">
        <f t="shared" si="72"/>
        <v>245.29684500000002</v>
      </c>
      <c r="K65" s="18">
        <f t="shared" si="72"/>
        <v>245.29684500000002</v>
      </c>
      <c r="L65" s="18">
        <f t="shared" si="72"/>
        <v>245.29684500000002</v>
      </c>
      <c r="M65" s="18">
        <f t="shared" si="72"/>
        <v>245.29684500000002</v>
      </c>
      <c r="N65" s="18">
        <f t="shared" si="72"/>
        <v>245.29684500000002</v>
      </c>
      <c r="O65" s="18">
        <f t="shared" si="72"/>
        <v>245.29684500000002</v>
      </c>
      <c r="P65" s="18">
        <f t="shared" si="72"/>
        <v>245.29684500000002</v>
      </c>
      <c r="Q65" s="88">
        <f t="shared" si="67"/>
        <v>3188.8589849999998</v>
      </c>
      <c r="R65" s="68">
        <f t="shared" si="68"/>
        <v>2109.4896004699458</v>
      </c>
    </row>
    <row r="66" spans="2:18" hidden="1" outlineLevel="1" x14ac:dyDescent="0.15">
      <c r="B66" s="36" t="s">
        <v>22</v>
      </c>
      <c r="D66" s="18">
        <f t="shared" ref="D66:P66" si="73">$H$6*$C$27</f>
        <v>10902.082</v>
      </c>
      <c r="E66" s="18">
        <f t="shared" si="73"/>
        <v>10902.082</v>
      </c>
      <c r="F66" s="18">
        <f t="shared" si="73"/>
        <v>10902.082</v>
      </c>
      <c r="G66" s="18">
        <f t="shared" si="73"/>
        <v>10902.082</v>
      </c>
      <c r="H66" s="18">
        <f t="shared" si="73"/>
        <v>10902.082</v>
      </c>
      <c r="I66" s="18">
        <f t="shared" si="73"/>
        <v>10902.082</v>
      </c>
      <c r="J66" s="18">
        <f t="shared" si="73"/>
        <v>10902.082</v>
      </c>
      <c r="K66" s="18">
        <f t="shared" si="73"/>
        <v>10902.082</v>
      </c>
      <c r="L66" s="18">
        <f t="shared" si="73"/>
        <v>10902.082</v>
      </c>
      <c r="M66" s="18">
        <f t="shared" si="73"/>
        <v>10902.082</v>
      </c>
      <c r="N66" s="18">
        <f t="shared" si="73"/>
        <v>10902.082</v>
      </c>
      <c r="O66" s="18">
        <f t="shared" si="73"/>
        <v>10902.082</v>
      </c>
      <c r="P66" s="18">
        <f t="shared" si="73"/>
        <v>10902.082</v>
      </c>
      <c r="Q66" s="88">
        <f t="shared" si="67"/>
        <v>141727.06599999999</v>
      </c>
      <c r="R66" s="68">
        <f t="shared" si="68"/>
        <v>93755.093354219804</v>
      </c>
    </row>
    <row r="67" spans="2:18" hidden="1" outlineLevel="1" x14ac:dyDescent="0.15">
      <c r="B67" s="71" t="s">
        <v>34</v>
      </c>
      <c r="C67" s="72"/>
      <c r="D67" s="89">
        <f t="shared" ref="D67:R67" si="74">SUM(D61:D66)</f>
        <v>303350.43164999998</v>
      </c>
      <c r="E67" s="89">
        <f t="shared" si="74"/>
        <v>303350.43164999998</v>
      </c>
      <c r="F67" s="89">
        <f t="shared" si="74"/>
        <v>303350.43164999998</v>
      </c>
      <c r="G67" s="89">
        <f t="shared" si="74"/>
        <v>303350.43164999998</v>
      </c>
      <c r="H67" s="89">
        <f t="shared" si="74"/>
        <v>303350.43164999998</v>
      </c>
      <c r="I67" s="89">
        <f t="shared" si="74"/>
        <v>303350.43164999998</v>
      </c>
      <c r="J67" s="89">
        <f t="shared" si="74"/>
        <v>303350.43164999998</v>
      </c>
      <c r="K67" s="89">
        <f t="shared" si="74"/>
        <v>303350.43164999998</v>
      </c>
      <c r="L67" s="89">
        <f t="shared" si="74"/>
        <v>303350.43164999998</v>
      </c>
      <c r="M67" s="89">
        <f t="shared" si="74"/>
        <v>303350.43164999998</v>
      </c>
      <c r="N67" s="89">
        <f t="shared" ref="N67:P67" si="75">SUM(N61:N66)</f>
        <v>303350.43164999998</v>
      </c>
      <c r="O67" s="89">
        <f t="shared" si="75"/>
        <v>303350.43164999998</v>
      </c>
      <c r="P67" s="89">
        <f t="shared" si="75"/>
        <v>303350.43164999998</v>
      </c>
      <c r="Q67" s="53">
        <f t="shared" si="74"/>
        <v>3943555.6114499988</v>
      </c>
      <c r="R67" s="74">
        <f t="shared" si="74"/>
        <v>2608735.4725811658</v>
      </c>
    </row>
    <row r="68" spans="2:18" outlineLevel="1" x14ac:dyDescent="0.15">
      <c r="B68" s="37"/>
      <c r="C68" s="37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75"/>
      <c r="R68" s="130"/>
    </row>
    <row r="69" spans="2:18" x14ac:dyDescent="0.15">
      <c r="D69" s="131" t="s">
        <v>63</v>
      </c>
      <c r="E69" s="132"/>
    </row>
    <row r="70" spans="2:18" x14ac:dyDescent="0.15">
      <c r="D70" s="12" t="s">
        <v>62</v>
      </c>
      <c r="E70" s="133">
        <v>5.0000000000000001E-3</v>
      </c>
    </row>
    <row r="71" spans="2:18" x14ac:dyDescent="0.15">
      <c r="D71" s="19" t="s">
        <v>61</v>
      </c>
      <c r="E71" s="134">
        <v>2E-3</v>
      </c>
    </row>
    <row r="73" spans="2:18" x14ac:dyDescent="0.15">
      <c r="B73" s="178" t="s">
        <v>60</v>
      </c>
      <c r="C73" s="23" t="s">
        <v>8</v>
      </c>
      <c r="D73" s="24">
        <f t="shared" ref="D73:P73" si="76">D74+1</f>
        <v>2026</v>
      </c>
      <c r="E73" s="24">
        <f t="shared" si="76"/>
        <v>2027</v>
      </c>
      <c r="F73" s="24">
        <f t="shared" si="76"/>
        <v>2028</v>
      </c>
      <c r="G73" s="24">
        <f t="shared" si="76"/>
        <v>2029</v>
      </c>
      <c r="H73" s="24">
        <f t="shared" si="76"/>
        <v>2030</v>
      </c>
      <c r="I73" s="24">
        <f t="shared" si="76"/>
        <v>2031</v>
      </c>
      <c r="J73" s="24">
        <f t="shared" si="76"/>
        <v>2032</v>
      </c>
      <c r="K73" s="24">
        <f t="shared" si="76"/>
        <v>2033</v>
      </c>
      <c r="L73" s="24">
        <f t="shared" si="76"/>
        <v>2034</v>
      </c>
      <c r="M73" s="24">
        <f t="shared" si="76"/>
        <v>2035</v>
      </c>
      <c r="N73" s="24">
        <f t="shared" si="76"/>
        <v>2036</v>
      </c>
      <c r="O73" s="24">
        <f t="shared" si="76"/>
        <v>2037</v>
      </c>
      <c r="P73" s="24">
        <f t="shared" si="76"/>
        <v>2038</v>
      </c>
      <c r="Q73" s="25"/>
      <c r="R73" s="26"/>
    </row>
    <row r="74" spans="2:18" x14ac:dyDescent="0.15">
      <c r="B74" s="186"/>
      <c r="C74" s="27" t="s">
        <v>0</v>
      </c>
      <c r="D74" s="28">
        <v>2025</v>
      </c>
      <c r="E74" s="28">
        <f t="shared" ref="E74:M74" si="77">D74+1</f>
        <v>2026</v>
      </c>
      <c r="F74" s="28">
        <f t="shared" si="77"/>
        <v>2027</v>
      </c>
      <c r="G74" s="28">
        <f t="shared" si="77"/>
        <v>2028</v>
      </c>
      <c r="H74" s="28">
        <f t="shared" si="77"/>
        <v>2029</v>
      </c>
      <c r="I74" s="28">
        <f t="shared" si="77"/>
        <v>2030</v>
      </c>
      <c r="J74" s="28">
        <f t="shared" si="77"/>
        <v>2031</v>
      </c>
      <c r="K74" s="28">
        <f t="shared" si="77"/>
        <v>2032</v>
      </c>
      <c r="L74" s="28">
        <f t="shared" si="77"/>
        <v>2033</v>
      </c>
      <c r="M74" s="28">
        <f t="shared" si="77"/>
        <v>2034</v>
      </c>
      <c r="N74" s="28">
        <f t="shared" ref="N74" si="78">M74+1</f>
        <v>2035</v>
      </c>
      <c r="O74" s="28">
        <f t="shared" ref="O74" si="79">N74+1</f>
        <v>2036</v>
      </c>
      <c r="P74" s="28">
        <f t="shared" ref="P74" si="80">O74+1</f>
        <v>2037</v>
      </c>
      <c r="Q74" s="29" t="s">
        <v>9</v>
      </c>
      <c r="R74" s="30" t="s">
        <v>10</v>
      </c>
    </row>
    <row r="75" spans="2:18" x14ac:dyDescent="0.15">
      <c r="B75" s="12" t="s">
        <v>64</v>
      </c>
      <c r="D75" s="81">
        <f>'Budget with Comps'!D69</f>
        <v>35650000</v>
      </c>
      <c r="E75" s="81">
        <f>'Budget with Comps'!E69</f>
        <v>73439000</v>
      </c>
      <c r="F75" s="81">
        <f>'Budget with Comps'!F69</f>
        <v>75642170</v>
      </c>
      <c r="G75" s="81">
        <f>'Budget with Comps'!G69</f>
        <v>77911435.100000009</v>
      </c>
      <c r="H75" s="81">
        <f>'Budget with Comps'!H69</f>
        <v>80248778.153000012</v>
      </c>
      <c r="I75" s="81">
        <f>'Budget with Comps'!I69</f>
        <v>82656241.49759002</v>
      </c>
      <c r="J75" s="81">
        <f>'Budget with Comps'!J69</f>
        <v>85135928.742517725</v>
      </c>
      <c r="K75" s="81">
        <f>'Budget with Comps'!K69</f>
        <v>87690006.604793265</v>
      </c>
      <c r="L75" s="81">
        <f>'Budget with Comps'!L69</f>
        <v>90320706.802937061</v>
      </c>
      <c r="M75" s="81">
        <f>'Budget with Comps'!M69</f>
        <v>93030328.007025182</v>
      </c>
      <c r="N75" s="81">
        <f>'Budget with Comps'!N69</f>
        <v>95821237.847235933</v>
      </c>
      <c r="O75" s="81">
        <f>'Budget with Comps'!O69</f>
        <v>98695874.982653007</v>
      </c>
      <c r="P75" s="81">
        <f>'Budget with Comps'!P69</f>
        <v>101656751.2321326</v>
      </c>
      <c r="Q75" s="136">
        <f>SUM(D75:P75)</f>
        <v>1077898458.9698846</v>
      </c>
      <c r="R75" s="137">
        <f>NPV($H$2,D75:P75)</f>
        <v>684317207.79807734</v>
      </c>
    </row>
    <row r="76" spans="2:18" x14ac:dyDescent="0.15">
      <c r="B76" s="124" t="s">
        <v>65</v>
      </c>
      <c r="C76" s="121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6"/>
      <c r="R76" s="127"/>
    </row>
    <row r="77" spans="2:18" x14ac:dyDescent="0.15">
      <c r="B77" s="12" t="s">
        <v>66</v>
      </c>
      <c r="D77" s="18">
        <f>D75*$E$70</f>
        <v>178250</v>
      </c>
      <c r="E77" s="18">
        <f>E75*$E$70</f>
        <v>367195</v>
      </c>
      <c r="F77" s="18">
        <f t="shared" ref="F77:M77" si="81">F75*$E$70</f>
        <v>378210.85000000003</v>
      </c>
      <c r="G77" s="18">
        <f t="shared" si="81"/>
        <v>389557.17550000007</v>
      </c>
      <c r="H77" s="18">
        <f t="shared" si="81"/>
        <v>401243.89076500008</v>
      </c>
      <c r="I77" s="18">
        <f t="shared" si="81"/>
        <v>413281.2074879501</v>
      </c>
      <c r="J77" s="18">
        <f t="shared" si="81"/>
        <v>425679.64371258864</v>
      </c>
      <c r="K77" s="18">
        <f t="shared" si="81"/>
        <v>438450.03302396636</v>
      </c>
      <c r="L77" s="18">
        <f t="shared" si="81"/>
        <v>451603.53401468531</v>
      </c>
      <c r="M77" s="18">
        <f t="shared" si="81"/>
        <v>465151.64003512589</v>
      </c>
      <c r="N77" s="18">
        <f t="shared" ref="N77:P77" si="82">N75*$E$70</f>
        <v>479106.18923617969</v>
      </c>
      <c r="O77" s="18">
        <f t="shared" si="82"/>
        <v>493479.37491326506</v>
      </c>
      <c r="P77" s="18">
        <f t="shared" si="82"/>
        <v>508283.75616066303</v>
      </c>
      <c r="Q77" s="138">
        <f>SUM(D77:P77)</f>
        <v>5389492.2948494246</v>
      </c>
      <c r="R77" s="139">
        <f>NPV($H$2,D77:P77)</f>
        <v>3421586.0389903882</v>
      </c>
    </row>
    <row r="78" spans="2:18" x14ac:dyDescent="0.15">
      <c r="B78" s="12" t="s">
        <v>67</v>
      </c>
      <c r="D78" s="18">
        <f>D75*$E$71</f>
        <v>71300</v>
      </c>
      <c r="E78" s="18">
        <f>E75*$E$71</f>
        <v>146878</v>
      </c>
      <c r="F78" s="18">
        <f t="shared" ref="F78:G78" si="83">F75*$E$71</f>
        <v>151284.34</v>
      </c>
      <c r="G78" s="18">
        <f t="shared" si="83"/>
        <v>155822.87020000003</v>
      </c>
      <c r="H78" s="18">
        <f>(H75*$E$71)</f>
        <v>160497.55630600001</v>
      </c>
      <c r="I78" s="18">
        <f>(I75*$E$71)*0.5</f>
        <v>82656.241497590017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  <c r="Q78" s="48">
        <f t="shared" ref="Q78:Q79" si="84">SUM(D78:P78)</f>
        <v>768439.00800358993</v>
      </c>
      <c r="R78" s="49">
        <f t="shared" ref="R78:R79" si="85">NPV($H$2,D78:P78)</f>
        <v>616601.26059739047</v>
      </c>
    </row>
    <row r="79" spans="2:18" x14ac:dyDescent="0.15">
      <c r="B79" s="135" t="s">
        <v>68</v>
      </c>
      <c r="C79" s="72"/>
      <c r="D79" s="73">
        <f>SUM(D77:D78)</f>
        <v>249550</v>
      </c>
      <c r="E79" s="73">
        <f t="shared" ref="E79:M79" si="86">SUM(E77:E78)</f>
        <v>514073</v>
      </c>
      <c r="F79" s="73">
        <f t="shared" si="86"/>
        <v>529495.19000000006</v>
      </c>
      <c r="G79" s="73">
        <f t="shared" si="86"/>
        <v>545380.04570000013</v>
      </c>
      <c r="H79" s="73">
        <f t="shared" si="86"/>
        <v>561741.44707100012</v>
      </c>
      <c r="I79" s="73">
        <f t="shared" si="86"/>
        <v>495937.44898554013</v>
      </c>
      <c r="J79" s="73">
        <f t="shared" si="86"/>
        <v>425679.64371258864</v>
      </c>
      <c r="K79" s="73">
        <f t="shared" si="86"/>
        <v>438450.03302396636</v>
      </c>
      <c r="L79" s="73">
        <f t="shared" si="86"/>
        <v>451603.53401468531</v>
      </c>
      <c r="M79" s="73">
        <f t="shared" si="86"/>
        <v>465151.64003512589</v>
      </c>
      <c r="N79" s="73">
        <f t="shared" ref="N79:P79" si="87">SUM(N77:N78)</f>
        <v>479106.18923617969</v>
      </c>
      <c r="O79" s="73">
        <f t="shared" si="87"/>
        <v>493479.37491326506</v>
      </c>
      <c r="P79" s="73">
        <f t="shared" si="87"/>
        <v>508283.75616066303</v>
      </c>
      <c r="Q79" s="140">
        <f t="shared" si="84"/>
        <v>6157931.3028530143</v>
      </c>
      <c r="R79" s="74">
        <f t="shared" si="85"/>
        <v>4038187.2995877787</v>
      </c>
    </row>
    <row r="82" spans="2:18" x14ac:dyDescent="0.15">
      <c r="B82" s="141" t="s">
        <v>69</v>
      </c>
      <c r="C82" s="142"/>
      <c r="D82" s="89" t="e">
        <f>D79+D25</f>
        <v>#REF!</v>
      </c>
      <c r="E82" s="89" t="e">
        <f t="shared" ref="E82:R82" si="88">E79+E25</f>
        <v>#REF!</v>
      </c>
      <c r="F82" s="89" t="e">
        <f t="shared" si="88"/>
        <v>#REF!</v>
      </c>
      <c r="G82" s="89" t="e">
        <f t="shared" si="88"/>
        <v>#REF!</v>
      </c>
      <c r="H82" s="89" t="e">
        <f t="shared" si="88"/>
        <v>#REF!</v>
      </c>
      <c r="I82" s="89" t="e">
        <f t="shared" si="88"/>
        <v>#REF!</v>
      </c>
      <c r="J82" s="89" t="e">
        <f t="shared" si="88"/>
        <v>#REF!</v>
      </c>
      <c r="K82" s="89" t="e">
        <f t="shared" si="88"/>
        <v>#REF!</v>
      </c>
      <c r="L82" s="89" t="e">
        <f t="shared" si="88"/>
        <v>#REF!</v>
      </c>
      <c r="M82" s="89" t="e">
        <f t="shared" si="88"/>
        <v>#REF!</v>
      </c>
      <c r="N82" s="89" t="e">
        <f t="shared" ref="N82:P82" si="89">N79+N25</f>
        <v>#REF!</v>
      </c>
      <c r="O82" s="89" t="e">
        <f t="shared" si="89"/>
        <v>#REF!</v>
      </c>
      <c r="P82" s="89" t="e">
        <f t="shared" si="89"/>
        <v>#REF!</v>
      </c>
      <c r="Q82" s="53" t="e">
        <f>Q79+Q25</f>
        <v>#REF!</v>
      </c>
      <c r="R82" s="54" t="e">
        <f t="shared" si="88"/>
        <v>#REF!</v>
      </c>
    </row>
  </sheetData>
  <mergeCells count="3">
    <mergeCell ref="B8:B9"/>
    <mergeCell ref="Q11:R20"/>
    <mergeCell ref="B73:B74"/>
  </mergeCells>
  <conditionalFormatting sqref="D12:P20 D28:R28 D39:T45 D47:T50 D52:T58 D61:R68">
    <cfRule type="cellIs" dxfId="1" priority="1" operator="greaterThan">
      <formula>0</formula>
    </cfRule>
  </conditionalFormatting>
  <pageMargins left="0.7" right="0.7" top="0.75" bottom="0.75" header="0.3" footer="0.3"/>
  <pageSetup orientation="portrait" horizontalDpi="360" verticalDpi="360" r:id="rId1"/>
  <ignoredErrors>
    <ignoredError sqref="F14:M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0FFFB-29D4-4797-91C2-3A2A6C90BE8A}">
  <dimension ref="A1:Z79"/>
  <sheetViews>
    <sheetView tabSelected="1" zoomScale="110" zoomScaleNormal="110" workbookViewId="0">
      <selection activeCell="A25" sqref="A25"/>
    </sheetView>
  </sheetViews>
  <sheetFormatPr baseColWidth="10" defaultColWidth="9" defaultRowHeight="11" outlineLevelRow="1" outlineLevelCol="1" x14ac:dyDescent="0.15"/>
  <cols>
    <col min="1" max="1" width="3.1640625" style="7" customWidth="1"/>
    <col min="2" max="2" width="60.1640625" style="7" customWidth="1"/>
    <col min="3" max="3" width="12" style="7" bestFit="1" customWidth="1"/>
    <col min="4" max="4" width="12" style="7" bestFit="1" customWidth="1" outlineLevel="1"/>
    <col min="5" max="5" width="12.33203125" style="7" bestFit="1" customWidth="1" outlineLevel="1"/>
    <col min="6" max="6" width="21" style="7" bestFit="1" customWidth="1" outlineLevel="1"/>
    <col min="7" max="7" width="16" style="7" bestFit="1" customWidth="1" outlineLevel="1"/>
    <col min="8" max="8" width="12.33203125" style="7" bestFit="1" customWidth="1"/>
    <col min="9" max="10" width="12.83203125" style="7" bestFit="1" customWidth="1"/>
    <col min="11" max="13" width="13.1640625" style="7" bestFit="1" customWidth="1"/>
    <col min="14" max="15" width="13.1640625" style="7" customWidth="1"/>
    <col min="16" max="16" width="12.83203125" style="7" bestFit="1" customWidth="1"/>
    <col min="17" max="23" width="12.83203125" style="7" customWidth="1"/>
    <col min="24" max="24" width="12" style="7" bestFit="1" customWidth="1"/>
    <col min="25" max="26" width="3.83203125" style="7" bestFit="1" customWidth="1"/>
    <col min="27" max="16384" width="9" style="7"/>
  </cols>
  <sheetData>
    <row r="1" spans="2:24" ht="23" x14ac:dyDescent="0.25">
      <c r="B1" s="8"/>
      <c r="F1" s="116" t="s">
        <v>3</v>
      </c>
      <c r="G1" s="117"/>
      <c r="H1" s="118"/>
      <c r="I1" s="9"/>
    </row>
    <row r="2" spans="2:24" ht="16" x14ac:dyDescent="0.2">
      <c r="B2" s="11"/>
      <c r="F2" s="12" t="s">
        <v>4</v>
      </c>
      <c r="H2" s="13">
        <v>6.5000000000000002E-2</v>
      </c>
      <c r="K2" s="16"/>
      <c r="L2" s="14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pans="2:24" ht="13" x14ac:dyDescent="0.15">
      <c r="B3" s="15"/>
      <c r="F3" s="12" t="s">
        <v>5</v>
      </c>
      <c r="H3" s="13">
        <v>0</v>
      </c>
      <c r="I3" s="16"/>
    </row>
    <row r="4" spans="2:24" ht="13" x14ac:dyDescent="0.15">
      <c r="B4" s="15"/>
      <c r="C4" s="151" t="s">
        <v>81</v>
      </c>
      <c r="D4" s="151"/>
      <c r="F4" s="12"/>
      <c r="H4" s="13"/>
      <c r="I4" s="16"/>
    </row>
    <row r="5" spans="2:24" ht="13" x14ac:dyDescent="0.15">
      <c r="B5" s="15"/>
      <c r="C5" s="152">
        <v>27600000</v>
      </c>
      <c r="D5" s="153"/>
      <c r="F5" s="12"/>
      <c r="H5" s="112"/>
      <c r="I5" s="16"/>
    </row>
    <row r="6" spans="2:24" x14ac:dyDescent="0.15">
      <c r="B6" s="17"/>
      <c r="C6" s="152">
        <f>Comps!J9+3000000</f>
        <v>19763918.272584148</v>
      </c>
      <c r="D6" s="152"/>
      <c r="E6" s="18"/>
      <c r="F6" s="19" t="s">
        <v>6</v>
      </c>
      <c r="G6" s="20"/>
      <c r="H6" s="21">
        <v>1264300</v>
      </c>
      <c r="J6" s="22"/>
    </row>
    <row r="7" spans="2:24" x14ac:dyDescent="0.15">
      <c r="B7" s="17"/>
      <c r="C7" s="16"/>
      <c r="D7" s="16"/>
      <c r="E7" s="18"/>
      <c r="F7" s="18"/>
      <c r="G7" s="18"/>
      <c r="H7" s="18"/>
      <c r="J7" s="22"/>
    </row>
    <row r="8" spans="2:24" ht="12.75" customHeight="1" x14ac:dyDescent="0.15">
      <c r="B8" s="178" t="s">
        <v>7</v>
      </c>
      <c r="C8" s="23" t="s">
        <v>8</v>
      </c>
      <c r="D8" s="24">
        <f t="shared" ref="D8:W8" si="0">D9+1</f>
        <v>2026</v>
      </c>
      <c r="E8" s="24">
        <f t="shared" si="0"/>
        <v>2027</v>
      </c>
      <c r="F8" s="24">
        <f t="shared" si="0"/>
        <v>2028</v>
      </c>
      <c r="G8" s="24">
        <f t="shared" si="0"/>
        <v>2029</v>
      </c>
      <c r="H8" s="24">
        <f t="shared" si="0"/>
        <v>2030</v>
      </c>
      <c r="I8" s="24">
        <f t="shared" si="0"/>
        <v>2031</v>
      </c>
      <c r="J8" s="24">
        <f t="shared" si="0"/>
        <v>2032</v>
      </c>
      <c r="K8" s="24">
        <f t="shared" si="0"/>
        <v>2033</v>
      </c>
      <c r="L8" s="24">
        <f t="shared" si="0"/>
        <v>2034</v>
      </c>
      <c r="M8" s="24">
        <f t="shared" si="0"/>
        <v>2035</v>
      </c>
      <c r="N8" s="24">
        <f t="shared" si="0"/>
        <v>2036</v>
      </c>
      <c r="O8" s="24">
        <f t="shared" si="0"/>
        <v>2037</v>
      </c>
      <c r="P8" s="24">
        <f t="shared" si="0"/>
        <v>2038</v>
      </c>
      <c r="Q8" s="24">
        <f t="shared" si="0"/>
        <v>2039</v>
      </c>
      <c r="R8" s="24">
        <f t="shared" si="0"/>
        <v>2040</v>
      </c>
      <c r="S8" s="24">
        <f t="shared" si="0"/>
        <v>2041</v>
      </c>
      <c r="T8" s="24">
        <f t="shared" si="0"/>
        <v>2042</v>
      </c>
      <c r="U8" s="24">
        <f t="shared" si="0"/>
        <v>2043</v>
      </c>
      <c r="V8" s="24">
        <f t="shared" si="0"/>
        <v>2044</v>
      </c>
      <c r="W8" s="24">
        <f t="shared" si="0"/>
        <v>2045</v>
      </c>
      <c r="X8" s="25"/>
    </row>
    <row r="9" spans="2:24" x14ac:dyDescent="0.15">
      <c r="B9" s="179"/>
      <c r="C9" s="27" t="s">
        <v>0</v>
      </c>
      <c r="D9" s="28">
        <v>2025</v>
      </c>
      <c r="E9" s="28">
        <f t="shared" ref="E9:M10" si="1">D9+1</f>
        <v>2026</v>
      </c>
      <c r="F9" s="28">
        <f t="shared" si="1"/>
        <v>2027</v>
      </c>
      <c r="G9" s="28">
        <f t="shared" si="1"/>
        <v>2028</v>
      </c>
      <c r="H9" s="28">
        <f t="shared" si="1"/>
        <v>2029</v>
      </c>
      <c r="I9" s="28">
        <f t="shared" si="1"/>
        <v>2030</v>
      </c>
      <c r="J9" s="28">
        <f t="shared" si="1"/>
        <v>2031</v>
      </c>
      <c r="K9" s="28">
        <f t="shared" si="1"/>
        <v>2032</v>
      </c>
      <c r="L9" s="28">
        <f t="shared" si="1"/>
        <v>2033</v>
      </c>
      <c r="M9" s="28">
        <f t="shared" si="1"/>
        <v>2034</v>
      </c>
      <c r="N9" s="28">
        <f t="shared" ref="N9:N10" si="2">M9+1</f>
        <v>2035</v>
      </c>
      <c r="O9" s="28">
        <f t="shared" ref="O9:O10" si="3">N9+1</f>
        <v>2036</v>
      </c>
      <c r="P9" s="28">
        <f t="shared" ref="P9:P10" si="4">O9+1</f>
        <v>2037</v>
      </c>
      <c r="Q9" s="28">
        <f t="shared" ref="Q9:Q10" si="5">P9+1</f>
        <v>2038</v>
      </c>
      <c r="R9" s="28">
        <f t="shared" ref="R9:R10" si="6">Q9+1</f>
        <v>2039</v>
      </c>
      <c r="S9" s="28">
        <f t="shared" ref="S9:S10" si="7">R9+1</f>
        <v>2040</v>
      </c>
      <c r="T9" s="28">
        <f t="shared" ref="T9:T10" si="8">S9+1</f>
        <v>2041</v>
      </c>
      <c r="U9" s="28">
        <f t="shared" ref="U9:U10" si="9">T9+1</f>
        <v>2042</v>
      </c>
      <c r="V9" s="28">
        <f t="shared" ref="V9:V10" si="10">U9+1</f>
        <v>2043</v>
      </c>
      <c r="W9" s="28">
        <f t="shared" ref="W9:W10" si="11">V9+1</f>
        <v>2044</v>
      </c>
      <c r="X9" s="29" t="s">
        <v>9</v>
      </c>
    </row>
    <row r="10" spans="2:24" x14ac:dyDescent="0.15">
      <c r="B10" s="31" t="s">
        <v>11</v>
      </c>
      <c r="C10" s="32" t="s">
        <v>12</v>
      </c>
      <c r="D10" s="33">
        <v>1</v>
      </c>
      <c r="E10" s="33">
        <f>D10+1</f>
        <v>2</v>
      </c>
      <c r="F10" s="33">
        <f t="shared" si="1"/>
        <v>3</v>
      </c>
      <c r="G10" s="33">
        <f t="shared" si="1"/>
        <v>4</v>
      </c>
      <c r="H10" s="33">
        <f t="shared" si="1"/>
        <v>5</v>
      </c>
      <c r="I10" s="33">
        <f t="shared" si="1"/>
        <v>6</v>
      </c>
      <c r="J10" s="33">
        <f t="shared" si="1"/>
        <v>7</v>
      </c>
      <c r="K10" s="33">
        <f t="shared" si="1"/>
        <v>8</v>
      </c>
      <c r="L10" s="33">
        <f t="shared" si="1"/>
        <v>9</v>
      </c>
      <c r="M10" s="33">
        <f t="shared" si="1"/>
        <v>10</v>
      </c>
      <c r="N10" s="33">
        <f t="shared" si="2"/>
        <v>11</v>
      </c>
      <c r="O10" s="33">
        <f t="shared" si="3"/>
        <v>12</v>
      </c>
      <c r="P10" s="33">
        <f t="shared" si="4"/>
        <v>13</v>
      </c>
      <c r="Q10" s="33">
        <f t="shared" si="5"/>
        <v>14</v>
      </c>
      <c r="R10" s="33">
        <f t="shared" si="6"/>
        <v>15</v>
      </c>
      <c r="S10" s="33">
        <f t="shared" si="7"/>
        <v>16</v>
      </c>
      <c r="T10" s="33">
        <f t="shared" si="8"/>
        <v>17</v>
      </c>
      <c r="U10" s="33">
        <f t="shared" si="9"/>
        <v>18</v>
      </c>
      <c r="V10" s="33">
        <f t="shared" si="10"/>
        <v>19</v>
      </c>
      <c r="W10" s="33">
        <f t="shared" si="11"/>
        <v>20</v>
      </c>
      <c r="X10" s="34"/>
    </row>
    <row r="11" spans="2:24" x14ac:dyDescent="0.15">
      <c r="B11" s="157" t="s">
        <v>37</v>
      </c>
      <c r="C11" s="158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80"/>
    </row>
    <row r="12" spans="2:24" ht="13.5" customHeight="1" x14ac:dyDescent="0.15">
      <c r="B12" s="159" t="s">
        <v>39</v>
      </c>
      <c r="C12" s="160"/>
      <c r="D12" s="161">
        <v>0</v>
      </c>
      <c r="E12" s="162">
        <f>C6</f>
        <v>19763918.272584148</v>
      </c>
      <c r="F12" s="162">
        <f t="shared" ref="F12:M12" si="12">E12</f>
        <v>19763918.272584148</v>
      </c>
      <c r="G12" s="162">
        <f t="shared" si="12"/>
        <v>19763918.272584148</v>
      </c>
      <c r="H12" s="162">
        <f t="shared" si="12"/>
        <v>19763918.272584148</v>
      </c>
      <c r="I12" s="162">
        <f t="shared" si="12"/>
        <v>19763918.272584148</v>
      </c>
      <c r="J12" s="162">
        <f t="shared" si="12"/>
        <v>19763918.272584148</v>
      </c>
      <c r="K12" s="162">
        <f t="shared" si="12"/>
        <v>19763918.272584148</v>
      </c>
      <c r="L12" s="162">
        <f t="shared" si="12"/>
        <v>19763918.272584148</v>
      </c>
      <c r="M12" s="162">
        <f t="shared" si="12"/>
        <v>19763918.272584148</v>
      </c>
      <c r="N12" s="162">
        <f t="shared" ref="N12" si="13">M12</f>
        <v>19763918.272584148</v>
      </c>
      <c r="O12" s="162">
        <f t="shared" ref="O12" si="14">N12</f>
        <v>19763918.272584148</v>
      </c>
      <c r="P12" s="162">
        <f t="shared" ref="P12" si="15">O12</f>
        <v>19763918.272584148</v>
      </c>
      <c r="Q12" s="162">
        <f t="shared" ref="Q12" si="16">P12</f>
        <v>19763918.272584148</v>
      </c>
      <c r="R12" s="162">
        <f t="shared" ref="R12" si="17">Q12</f>
        <v>19763918.272584148</v>
      </c>
      <c r="S12" s="162">
        <f t="shared" ref="S12" si="18">R12</f>
        <v>19763918.272584148</v>
      </c>
      <c r="T12" s="162">
        <f t="shared" ref="T12" si="19">S12</f>
        <v>19763918.272584148</v>
      </c>
      <c r="U12" s="162">
        <f t="shared" ref="U12" si="20">T12</f>
        <v>19763918.272584148</v>
      </c>
      <c r="V12" s="162">
        <f t="shared" ref="V12" si="21">U12</f>
        <v>19763918.272584148</v>
      </c>
      <c r="W12" s="162">
        <f t="shared" ref="W12" si="22">V12</f>
        <v>19763918.272584148</v>
      </c>
      <c r="X12" s="182"/>
    </row>
    <row r="13" spans="2:24" ht="13.5" customHeight="1" x14ac:dyDescent="0.15">
      <c r="B13" s="159" t="s">
        <v>84</v>
      </c>
      <c r="C13" s="160"/>
      <c r="D13" s="161">
        <v>0</v>
      </c>
      <c r="E13" s="161">
        <f t="shared" ref="E13:W13" si="23">50000*500*0.8</f>
        <v>20000000</v>
      </c>
      <c r="F13" s="161">
        <f t="shared" si="23"/>
        <v>20000000</v>
      </c>
      <c r="G13" s="161">
        <f t="shared" si="23"/>
        <v>20000000</v>
      </c>
      <c r="H13" s="161">
        <f t="shared" si="23"/>
        <v>20000000</v>
      </c>
      <c r="I13" s="161">
        <f t="shared" si="23"/>
        <v>20000000</v>
      </c>
      <c r="J13" s="161">
        <f t="shared" si="23"/>
        <v>20000000</v>
      </c>
      <c r="K13" s="161">
        <f t="shared" si="23"/>
        <v>20000000</v>
      </c>
      <c r="L13" s="161">
        <f t="shared" si="23"/>
        <v>20000000</v>
      </c>
      <c r="M13" s="161">
        <f t="shared" si="23"/>
        <v>20000000</v>
      </c>
      <c r="N13" s="161">
        <f t="shared" si="23"/>
        <v>20000000</v>
      </c>
      <c r="O13" s="161">
        <f t="shared" si="23"/>
        <v>20000000</v>
      </c>
      <c r="P13" s="161">
        <f t="shared" si="23"/>
        <v>20000000</v>
      </c>
      <c r="Q13" s="161">
        <f t="shared" si="23"/>
        <v>20000000</v>
      </c>
      <c r="R13" s="161">
        <f t="shared" si="23"/>
        <v>20000000</v>
      </c>
      <c r="S13" s="161">
        <f t="shared" si="23"/>
        <v>20000000</v>
      </c>
      <c r="T13" s="161">
        <f t="shared" si="23"/>
        <v>20000000</v>
      </c>
      <c r="U13" s="161">
        <f t="shared" si="23"/>
        <v>20000000</v>
      </c>
      <c r="V13" s="161">
        <f t="shared" si="23"/>
        <v>20000000</v>
      </c>
      <c r="W13" s="161">
        <f t="shared" si="23"/>
        <v>20000000</v>
      </c>
      <c r="X13" s="182"/>
    </row>
    <row r="14" spans="2:24" ht="13.5" customHeight="1" x14ac:dyDescent="0.15">
      <c r="B14" s="40" t="s">
        <v>13</v>
      </c>
      <c r="C14" s="37"/>
      <c r="D14" s="41">
        <f t="shared" ref="D14:M14" si="24">SUM(D12:D13)</f>
        <v>0</v>
      </c>
      <c r="E14" s="41">
        <f t="shared" si="24"/>
        <v>39763918.272584148</v>
      </c>
      <c r="F14" s="41">
        <f t="shared" si="24"/>
        <v>39763918.272584148</v>
      </c>
      <c r="G14" s="41">
        <f t="shared" si="24"/>
        <v>39763918.272584148</v>
      </c>
      <c r="H14" s="41">
        <f t="shared" si="24"/>
        <v>39763918.272584148</v>
      </c>
      <c r="I14" s="41">
        <f t="shared" si="24"/>
        <v>39763918.272584148</v>
      </c>
      <c r="J14" s="41">
        <f t="shared" si="24"/>
        <v>39763918.272584148</v>
      </c>
      <c r="K14" s="41">
        <f t="shared" si="24"/>
        <v>39763918.272584148</v>
      </c>
      <c r="L14" s="41">
        <f t="shared" si="24"/>
        <v>39763918.272584148</v>
      </c>
      <c r="M14" s="41">
        <f t="shared" si="24"/>
        <v>39763918.272584148</v>
      </c>
      <c r="N14" s="41">
        <f t="shared" ref="N14:P14" si="25">SUM(N12:N13)</f>
        <v>39763918.272584148</v>
      </c>
      <c r="O14" s="41">
        <f t="shared" si="25"/>
        <v>39763918.272584148</v>
      </c>
      <c r="P14" s="41">
        <f t="shared" si="25"/>
        <v>39763918.272584148</v>
      </c>
      <c r="Q14" s="41">
        <f t="shared" ref="Q14:W14" si="26">SUM(Q12:Q13)</f>
        <v>39763918.272584148</v>
      </c>
      <c r="R14" s="41">
        <f t="shared" si="26"/>
        <v>39763918.272584148</v>
      </c>
      <c r="S14" s="41">
        <f t="shared" si="26"/>
        <v>39763918.272584148</v>
      </c>
      <c r="T14" s="41">
        <f t="shared" si="26"/>
        <v>39763918.272584148</v>
      </c>
      <c r="U14" s="41">
        <f t="shared" si="26"/>
        <v>39763918.272584148</v>
      </c>
      <c r="V14" s="41">
        <f t="shared" si="26"/>
        <v>39763918.272584148</v>
      </c>
      <c r="W14" s="41">
        <f t="shared" si="26"/>
        <v>39763918.272584148</v>
      </c>
      <c r="X14" s="182"/>
    </row>
    <row r="15" spans="2:24" ht="12.75" customHeight="1" x14ac:dyDescent="0.15">
      <c r="B15" s="42" t="s">
        <v>14</v>
      </c>
      <c r="C15" s="43"/>
      <c r="D15" s="44">
        <f t="shared" ref="D15:M15" si="27">SUM(D14:D14)</f>
        <v>0</v>
      </c>
      <c r="E15" s="44">
        <f t="shared" si="27"/>
        <v>39763918.272584148</v>
      </c>
      <c r="F15" s="44">
        <f t="shared" si="27"/>
        <v>39763918.272584148</v>
      </c>
      <c r="G15" s="44">
        <f t="shared" si="27"/>
        <v>39763918.272584148</v>
      </c>
      <c r="H15" s="44">
        <f t="shared" si="27"/>
        <v>39763918.272584148</v>
      </c>
      <c r="I15" s="44">
        <f t="shared" si="27"/>
        <v>39763918.272584148</v>
      </c>
      <c r="J15" s="44">
        <f t="shared" si="27"/>
        <v>39763918.272584148</v>
      </c>
      <c r="K15" s="44">
        <f t="shared" si="27"/>
        <v>39763918.272584148</v>
      </c>
      <c r="L15" s="44">
        <f t="shared" si="27"/>
        <v>39763918.272584148</v>
      </c>
      <c r="M15" s="44">
        <f t="shared" si="27"/>
        <v>39763918.272584148</v>
      </c>
      <c r="N15" s="44">
        <f t="shared" ref="N15:W15" si="28">SUM(N14:N14)</f>
        <v>39763918.272584148</v>
      </c>
      <c r="O15" s="44">
        <f t="shared" si="28"/>
        <v>39763918.272584148</v>
      </c>
      <c r="P15" s="44">
        <f t="shared" si="28"/>
        <v>39763918.272584148</v>
      </c>
      <c r="Q15" s="44">
        <f t="shared" si="28"/>
        <v>39763918.272584148</v>
      </c>
      <c r="R15" s="44">
        <f t="shared" si="28"/>
        <v>39763918.272584148</v>
      </c>
      <c r="S15" s="44">
        <f t="shared" si="28"/>
        <v>39763918.272584148</v>
      </c>
      <c r="T15" s="44">
        <f t="shared" si="28"/>
        <v>39763918.272584148</v>
      </c>
      <c r="U15" s="44">
        <f t="shared" si="28"/>
        <v>39763918.272584148</v>
      </c>
      <c r="V15" s="44">
        <f t="shared" si="28"/>
        <v>39763918.272584148</v>
      </c>
      <c r="W15" s="44">
        <f t="shared" si="28"/>
        <v>39763918.272584148</v>
      </c>
      <c r="X15" s="184"/>
    </row>
    <row r="16" spans="2:24" x14ac:dyDescent="0.15">
      <c r="B16" s="119" t="s">
        <v>15</v>
      </c>
      <c r="C16" s="120" t="s">
        <v>16</v>
      </c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2" t="s">
        <v>1</v>
      </c>
    </row>
    <row r="17" spans="1:26" x14ac:dyDescent="0.15">
      <c r="A17" s="45"/>
      <c r="B17" s="46" t="s">
        <v>17</v>
      </c>
      <c r="C17" s="47">
        <v>1.459E-3</v>
      </c>
      <c r="D17" s="18">
        <f t="shared" ref="D17:S24" si="29">+$C17*D$15</f>
        <v>0</v>
      </c>
      <c r="E17" s="18">
        <f t="shared" si="29"/>
        <v>58015.556759700274</v>
      </c>
      <c r="F17" s="18">
        <f t="shared" si="29"/>
        <v>58015.556759700274</v>
      </c>
      <c r="G17" s="18">
        <f t="shared" si="29"/>
        <v>58015.556759700274</v>
      </c>
      <c r="H17" s="18">
        <f t="shared" si="29"/>
        <v>58015.556759700274</v>
      </c>
      <c r="I17" s="18">
        <f t="shared" si="29"/>
        <v>58015.556759700274</v>
      </c>
      <c r="J17" s="18">
        <f t="shared" si="29"/>
        <v>58015.556759700274</v>
      </c>
      <c r="K17" s="18">
        <f t="shared" si="29"/>
        <v>58015.556759700274</v>
      </c>
      <c r="L17" s="18">
        <f t="shared" si="29"/>
        <v>58015.556759700274</v>
      </c>
      <c r="M17" s="18">
        <f t="shared" si="29"/>
        <v>58015.556759700274</v>
      </c>
      <c r="N17" s="18">
        <f t="shared" si="29"/>
        <v>58015.556759700274</v>
      </c>
      <c r="O17" s="18">
        <f t="shared" si="29"/>
        <v>58015.556759700274</v>
      </c>
      <c r="P17" s="18">
        <f t="shared" si="29"/>
        <v>58015.556759700274</v>
      </c>
      <c r="Q17" s="18">
        <f t="shared" si="29"/>
        <v>58015.556759700274</v>
      </c>
      <c r="R17" s="18">
        <f t="shared" si="29"/>
        <v>58015.556759700274</v>
      </c>
      <c r="S17" s="18">
        <f t="shared" si="29"/>
        <v>58015.556759700274</v>
      </c>
      <c r="T17" s="18">
        <f>+$C17*T$15</f>
        <v>58015.556759700274</v>
      </c>
      <c r="U17" s="18">
        <f t="shared" ref="Q17:W24" si="30">+$C17*U$15</f>
        <v>58015.556759700274</v>
      </c>
      <c r="V17" s="18">
        <f t="shared" si="30"/>
        <v>58015.556759700274</v>
      </c>
      <c r="W17" s="18">
        <f t="shared" si="30"/>
        <v>58015.556759700274</v>
      </c>
      <c r="X17" s="48">
        <f>SUM(D17:W17)</f>
        <v>1102295.5784343055</v>
      </c>
    </row>
    <row r="18" spans="1:26" x14ac:dyDescent="0.15">
      <c r="A18" s="45"/>
      <c r="B18" s="46" t="s">
        <v>18</v>
      </c>
      <c r="C18" s="47">
        <v>3.86E-4</v>
      </c>
      <c r="D18" s="18">
        <f t="shared" si="29"/>
        <v>0</v>
      </c>
      <c r="E18" s="18">
        <f t="shared" si="29"/>
        <v>15348.872453217482</v>
      </c>
      <c r="F18" s="18">
        <f t="shared" si="29"/>
        <v>15348.872453217482</v>
      </c>
      <c r="G18" s="18">
        <f t="shared" si="29"/>
        <v>15348.872453217482</v>
      </c>
      <c r="H18" s="18">
        <f t="shared" si="29"/>
        <v>15348.872453217482</v>
      </c>
      <c r="I18" s="18">
        <f t="shared" si="29"/>
        <v>15348.872453217482</v>
      </c>
      <c r="J18" s="18">
        <f t="shared" si="29"/>
        <v>15348.872453217482</v>
      </c>
      <c r="K18" s="18">
        <f t="shared" si="29"/>
        <v>15348.872453217482</v>
      </c>
      <c r="L18" s="18">
        <f t="shared" si="29"/>
        <v>15348.872453217482</v>
      </c>
      <c r="M18" s="18">
        <f t="shared" si="29"/>
        <v>15348.872453217482</v>
      </c>
      <c r="N18" s="18">
        <f t="shared" si="29"/>
        <v>15348.872453217482</v>
      </c>
      <c r="O18" s="18">
        <f t="shared" si="29"/>
        <v>15348.872453217482</v>
      </c>
      <c r="P18" s="18">
        <f t="shared" si="29"/>
        <v>15348.872453217482</v>
      </c>
      <c r="Q18" s="18">
        <f t="shared" si="30"/>
        <v>15348.872453217482</v>
      </c>
      <c r="R18" s="18">
        <f t="shared" si="30"/>
        <v>15348.872453217482</v>
      </c>
      <c r="S18" s="18">
        <f t="shared" si="30"/>
        <v>15348.872453217482</v>
      </c>
      <c r="T18" s="18">
        <f t="shared" si="30"/>
        <v>15348.872453217482</v>
      </c>
      <c r="U18" s="18">
        <f t="shared" si="30"/>
        <v>15348.872453217482</v>
      </c>
      <c r="V18" s="18">
        <f t="shared" si="30"/>
        <v>15348.872453217482</v>
      </c>
      <c r="W18" s="18">
        <f t="shared" si="30"/>
        <v>15348.872453217482</v>
      </c>
      <c r="X18" s="48">
        <f>SUM(D18:W18)</f>
        <v>291628.57661113213</v>
      </c>
    </row>
    <row r="19" spans="1:26" x14ac:dyDescent="0.15">
      <c r="A19" s="45"/>
      <c r="B19" s="46" t="s">
        <v>19</v>
      </c>
      <c r="C19" s="47">
        <v>6.3109999999999998E-3</v>
      </c>
      <c r="D19" s="18">
        <f t="shared" si="29"/>
        <v>0</v>
      </c>
      <c r="E19" s="18">
        <f t="shared" si="29"/>
        <v>250950.08821827854</v>
      </c>
      <c r="F19" s="18">
        <f t="shared" si="29"/>
        <v>250950.08821827854</v>
      </c>
      <c r="G19" s="18">
        <f t="shared" si="29"/>
        <v>250950.08821827854</v>
      </c>
      <c r="H19" s="18">
        <f t="shared" si="29"/>
        <v>250950.08821827854</v>
      </c>
      <c r="I19" s="18">
        <f t="shared" si="29"/>
        <v>250950.08821827854</v>
      </c>
      <c r="J19" s="18">
        <f t="shared" si="29"/>
        <v>250950.08821827854</v>
      </c>
      <c r="K19" s="18">
        <f t="shared" si="29"/>
        <v>250950.08821827854</v>
      </c>
      <c r="L19" s="18">
        <f t="shared" si="29"/>
        <v>250950.08821827854</v>
      </c>
      <c r="M19" s="18">
        <f t="shared" si="29"/>
        <v>250950.08821827854</v>
      </c>
      <c r="N19" s="18">
        <f t="shared" si="29"/>
        <v>250950.08821827854</v>
      </c>
      <c r="O19" s="18">
        <f t="shared" si="29"/>
        <v>250950.08821827854</v>
      </c>
      <c r="P19" s="18">
        <f t="shared" si="29"/>
        <v>250950.08821827854</v>
      </c>
      <c r="Q19" s="18">
        <f t="shared" si="30"/>
        <v>250950.08821827854</v>
      </c>
      <c r="R19" s="18">
        <f t="shared" si="30"/>
        <v>250950.08821827854</v>
      </c>
      <c r="S19" s="18">
        <f t="shared" si="30"/>
        <v>250950.08821827854</v>
      </c>
      <c r="T19" s="18">
        <f t="shared" si="30"/>
        <v>250950.08821827854</v>
      </c>
      <c r="U19" s="18">
        <f t="shared" si="30"/>
        <v>250950.08821827854</v>
      </c>
      <c r="V19" s="18">
        <f t="shared" si="30"/>
        <v>250950.08821827854</v>
      </c>
      <c r="W19" s="18">
        <f t="shared" si="30"/>
        <v>250950.08821827854</v>
      </c>
      <c r="X19" s="48">
        <f t="shared" ref="X19:X24" si="31">SUM(D19:W19)</f>
        <v>4768051.6761472924</v>
      </c>
    </row>
    <row r="20" spans="1:26" x14ac:dyDescent="0.15">
      <c r="A20" s="45"/>
      <c r="B20" s="170" t="s">
        <v>82</v>
      </c>
      <c r="C20" s="171">
        <v>1.4530000000000001E-3</v>
      </c>
      <c r="D20" s="172">
        <f t="shared" si="29"/>
        <v>0</v>
      </c>
      <c r="E20" s="172">
        <f t="shared" si="29"/>
        <v>57776.973250064773</v>
      </c>
      <c r="F20" s="172">
        <f t="shared" si="29"/>
        <v>57776.973250064773</v>
      </c>
      <c r="G20" s="172">
        <f t="shared" si="29"/>
        <v>57776.973250064773</v>
      </c>
      <c r="H20" s="172">
        <f t="shared" si="29"/>
        <v>57776.973250064773</v>
      </c>
      <c r="I20" s="172">
        <f t="shared" si="29"/>
        <v>57776.973250064773</v>
      </c>
      <c r="J20" s="172">
        <f t="shared" si="29"/>
        <v>57776.973250064773</v>
      </c>
      <c r="K20" s="172">
        <f t="shared" si="29"/>
        <v>57776.973250064773</v>
      </c>
      <c r="L20" s="172">
        <f t="shared" si="29"/>
        <v>57776.973250064773</v>
      </c>
      <c r="M20" s="172">
        <f t="shared" si="29"/>
        <v>57776.973250064773</v>
      </c>
      <c r="N20" s="172">
        <f t="shared" si="29"/>
        <v>57776.973250064773</v>
      </c>
      <c r="O20" s="172">
        <f t="shared" si="29"/>
        <v>57776.973250064773</v>
      </c>
      <c r="P20" s="172">
        <f t="shared" si="29"/>
        <v>57776.973250064773</v>
      </c>
      <c r="Q20" s="172">
        <f t="shared" si="30"/>
        <v>57776.973250064773</v>
      </c>
      <c r="R20" s="172">
        <f t="shared" si="30"/>
        <v>57776.973250064773</v>
      </c>
      <c r="S20" s="172">
        <f t="shared" si="30"/>
        <v>57776.973250064773</v>
      </c>
      <c r="T20" s="172">
        <f t="shared" si="30"/>
        <v>57776.973250064773</v>
      </c>
      <c r="U20" s="172">
        <f t="shared" si="30"/>
        <v>57776.973250064773</v>
      </c>
      <c r="V20" s="172">
        <f t="shared" si="30"/>
        <v>57776.973250064773</v>
      </c>
      <c r="W20" s="172">
        <f t="shared" si="30"/>
        <v>57776.973250064773</v>
      </c>
      <c r="X20" s="173">
        <f t="shared" si="31"/>
        <v>1097762.4917512308</v>
      </c>
    </row>
    <row r="21" spans="1:26" x14ac:dyDescent="0.15">
      <c r="A21" s="45"/>
      <c r="B21" s="46" t="s">
        <v>21</v>
      </c>
      <c r="C21" s="47">
        <v>9.0000000000000002E-6</v>
      </c>
      <c r="D21" s="18">
        <f t="shared" si="29"/>
        <v>0</v>
      </c>
      <c r="E21" s="18">
        <f t="shared" si="29"/>
        <v>357.87526445325733</v>
      </c>
      <c r="F21" s="18">
        <f t="shared" si="29"/>
        <v>357.87526445325733</v>
      </c>
      <c r="G21" s="18">
        <f t="shared" si="29"/>
        <v>357.87526445325733</v>
      </c>
      <c r="H21" s="18">
        <f t="shared" si="29"/>
        <v>357.87526445325733</v>
      </c>
      <c r="I21" s="18">
        <f t="shared" si="29"/>
        <v>357.87526445325733</v>
      </c>
      <c r="J21" s="18">
        <f t="shared" si="29"/>
        <v>357.87526445325733</v>
      </c>
      <c r="K21" s="18">
        <f t="shared" si="29"/>
        <v>357.87526445325733</v>
      </c>
      <c r="L21" s="18">
        <f t="shared" si="29"/>
        <v>357.87526445325733</v>
      </c>
      <c r="M21" s="18">
        <f t="shared" si="29"/>
        <v>357.87526445325733</v>
      </c>
      <c r="N21" s="18">
        <f t="shared" si="29"/>
        <v>357.87526445325733</v>
      </c>
      <c r="O21" s="18">
        <f t="shared" si="29"/>
        <v>357.87526445325733</v>
      </c>
      <c r="P21" s="18">
        <f t="shared" si="29"/>
        <v>357.87526445325733</v>
      </c>
      <c r="Q21" s="18">
        <f t="shared" si="30"/>
        <v>357.87526445325733</v>
      </c>
      <c r="R21" s="18">
        <f t="shared" si="30"/>
        <v>357.87526445325733</v>
      </c>
      <c r="S21" s="18">
        <f t="shared" si="30"/>
        <v>357.87526445325733</v>
      </c>
      <c r="T21" s="18">
        <f t="shared" si="30"/>
        <v>357.87526445325733</v>
      </c>
      <c r="U21" s="18">
        <f t="shared" si="30"/>
        <v>357.87526445325733</v>
      </c>
      <c r="V21" s="18">
        <f t="shared" si="30"/>
        <v>357.87526445325733</v>
      </c>
      <c r="W21" s="18">
        <f t="shared" si="30"/>
        <v>357.87526445325733</v>
      </c>
      <c r="X21" s="48">
        <f t="shared" si="31"/>
        <v>6799.6300246118863</v>
      </c>
    </row>
    <row r="22" spans="1:26" x14ac:dyDescent="0.15">
      <c r="A22" s="45"/>
      <c r="B22" s="46" t="s">
        <v>22</v>
      </c>
      <c r="C22" s="47">
        <v>4.0000000000000002E-4</v>
      </c>
      <c r="D22" s="18">
        <f t="shared" si="29"/>
        <v>0</v>
      </c>
      <c r="E22" s="18">
        <f t="shared" si="29"/>
        <v>15905.56730903366</v>
      </c>
      <c r="F22" s="18">
        <f t="shared" si="29"/>
        <v>15905.56730903366</v>
      </c>
      <c r="G22" s="18">
        <f t="shared" si="29"/>
        <v>15905.56730903366</v>
      </c>
      <c r="H22" s="18">
        <f t="shared" si="29"/>
        <v>15905.56730903366</v>
      </c>
      <c r="I22" s="18">
        <f t="shared" si="29"/>
        <v>15905.56730903366</v>
      </c>
      <c r="J22" s="18">
        <f t="shared" si="29"/>
        <v>15905.56730903366</v>
      </c>
      <c r="K22" s="18">
        <f t="shared" si="29"/>
        <v>15905.56730903366</v>
      </c>
      <c r="L22" s="18">
        <f t="shared" si="29"/>
        <v>15905.56730903366</v>
      </c>
      <c r="M22" s="18">
        <f t="shared" si="29"/>
        <v>15905.56730903366</v>
      </c>
      <c r="N22" s="18">
        <f t="shared" si="29"/>
        <v>15905.56730903366</v>
      </c>
      <c r="O22" s="18">
        <f t="shared" si="29"/>
        <v>15905.56730903366</v>
      </c>
      <c r="P22" s="18">
        <f t="shared" si="29"/>
        <v>15905.56730903366</v>
      </c>
      <c r="Q22" s="18">
        <f t="shared" si="30"/>
        <v>15905.56730903366</v>
      </c>
      <c r="R22" s="18">
        <f t="shared" si="30"/>
        <v>15905.56730903366</v>
      </c>
      <c r="S22" s="18">
        <f t="shared" si="30"/>
        <v>15905.56730903366</v>
      </c>
      <c r="T22" s="18">
        <f t="shared" si="30"/>
        <v>15905.56730903366</v>
      </c>
      <c r="U22" s="18">
        <f t="shared" si="30"/>
        <v>15905.56730903366</v>
      </c>
      <c r="V22" s="18">
        <f t="shared" si="30"/>
        <v>15905.56730903366</v>
      </c>
      <c r="W22" s="18">
        <f t="shared" si="30"/>
        <v>15905.56730903366</v>
      </c>
      <c r="X22" s="156">
        <f t="shared" si="31"/>
        <v>302205.77887163946</v>
      </c>
    </row>
    <row r="23" spans="1:26" x14ac:dyDescent="0.15">
      <c r="A23" s="45"/>
      <c r="B23" s="46" t="s">
        <v>85</v>
      </c>
      <c r="C23" s="47">
        <v>1.8799999999999999E-4</v>
      </c>
      <c r="D23" s="18">
        <f t="shared" si="29"/>
        <v>0</v>
      </c>
      <c r="E23" s="18">
        <f>+$C23*E$15</f>
        <v>7475.6166352458195</v>
      </c>
      <c r="F23" s="18">
        <f t="shared" si="29"/>
        <v>7475.6166352458195</v>
      </c>
      <c r="G23" s="18">
        <f t="shared" si="29"/>
        <v>7475.6166352458195</v>
      </c>
      <c r="H23" s="18">
        <f t="shared" si="29"/>
        <v>7475.6166352458195</v>
      </c>
      <c r="I23" s="18">
        <f t="shared" si="29"/>
        <v>7475.6166352458195</v>
      </c>
      <c r="J23" s="18">
        <f t="shared" si="29"/>
        <v>7475.6166352458195</v>
      </c>
      <c r="K23" s="18">
        <f t="shared" si="29"/>
        <v>7475.6166352458195</v>
      </c>
      <c r="L23" s="18">
        <f t="shared" si="29"/>
        <v>7475.6166352458195</v>
      </c>
      <c r="M23" s="18">
        <f t="shared" si="29"/>
        <v>7475.6166352458195</v>
      </c>
      <c r="N23" s="18">
        <f t="shared" si="29"/>
        <v>7475.6166352458195</v>
      </c>
      <c r="O23" s="18">
        <f t="shared" si="29"/>
        <v>7475.6166352458195</v>
      </c>
      <c r="P23" s="18">
        <f t="shared" si="29"/>
        <v>7475.6166352458195</v>
      </c>
      <c r="Q23" s="18">
        <f t="shared" si="30"/>
        <v>7475.6166352458195</v>
      </c>
      <c r="R23" s="18">
        <f t="shared" si="30"/>
        <v>7475.6166352458195</v>
      </c>
      <c r="S23" s="18">
        <f t="shared" si="30"/>
        <v>7475.6166352458195</v>
      </c>
      <c r="T23" s="18">
        <f t="shared" si="30"/>
        <v>7475.6166352458195</v>
      </c>
      <c r="U23" s="18">
        <f t="shared" si="30"/>
        <v>7475.6166352458195</v>
      </c>
      <c r="V23" s="18">
        <f t="shared" si="30"/>
        <v>7475.6166352458195</v>
      </c>
      <c r="W23" s="18">
        <f t="shared" si="30"/>
        <v>7475.6166352458195</v>
      </c>
      <c r="X23" s="48">
        <f t="shared" si="31"/>
        <v>142036.7160696706</v>
      </c>
    </row>
    <row r="24" spans="1:26" x14ac:dyDescent="0.15">
      <c r="A24" s="45"/>
      <c r="B24" s="46" t="s">
        <v>86</v>
      </c>
      <c r="C24" s="47">
        <v>1.322E-3</v>
      </c>
      <c r="D24" s="18">
        <f t="shared" si="29"/>
        <v>0</v>
      </c>
      <c r="E24" s="18">
        <f>+$C24*E$15</f>
        <v>52567.899956356247</v>
      </c>
      <c r="F24" s="18">
        <f t="shared" si="29"/>
        <v>52567.899956356247</v>
      </c>
      <c r="G24" s="18">
        <f t="shared" si="29"/>
        <v>52567.899956356247</v>
      </c>
      <c r="H24" s="18">
        <f t="shared" si="29"/>
        <v>52567.899956356247</v>
      </c>
      <c r="I24" s="18">
        <f t="shared" si="29"/>
        <v>52567.899956356247</v>
      </c>
      <c r="J24" s="18">
        <f t="shared" si="29"/>
        <v>52567.899956356247</v>
      </c>
      <c r="K24" s="18">
        <f t="shared" si="29"/>
        <v>52567.899956356247</v>
      </c>
      <c r="L24" s="18">
        <f t="shared" si="29"/>
        <v>52567.899956356247</v>
      </c>
      <c r="M24" s="18">
        <f t="shared" si="29"/>
        <v>52567.899956356247</v>
      </c>
      <c r="N24" s="18">
        <f t="shared" si="29"/>
        <v>52567.899956356247</v>
      </c>
      <c r="O24" s="18">
        <f t="shared" si="29"/>
        <v>52567.899956356247</v>
      </c>
      <c r="P24" s="18">
        <f t="shared" si="29"/>
        <v>52567.899956356247</v>
      </c>
      <c r="Q24" s="18">
        <f t="shared" si="30"/>
        <v>52567.899956356247</v>
      </c>
      <c r="R24" s="18">
        <f t="shared" si="30"/>
        <v>52567.899956356247</v>
      </c>
      <c r="S24" s="18">
        <f t="shared" si="30"/>
        <v>52567.899956356247</v>
      </c>
      <c r="T24" s="18">
        <f t="shared" si="30"/>
        <v>52567.899956356247</v>
      </c>
      <c r="U24" s="18">
        <f t="shared" si="30"/>
        <v>52567.899956356247</v>
      </c>
      <c r="V24" s="18">
        <f t="shared" si="30"/>
        <v>52567.899956356247</v>
      </c>
      <c r="W24" s="18">
        <f t="shared" si="30"/>
        <v>52567.899956356247</v>
      </c>
      <c r="X24" s="48">
        <f t="shared" si="31"/>
        <v>998790.09917076898</v>
      </c>
    </row>
    <row r="25" spans="1:26" x14ac:dyDescent="0.15">
      <c r="B25" s="50" t="s">
        <v>23</v>
      </c>
      <c r="C25" s="51">
        <f>SUM(C17:C24)</f>
        <v>1.1528E-2</v>
      </c>
      <c r="D25" s="52">
        <f t="shared" ref="D25" si="32">SUM(D17:D22)</f>
        <v>0</v>
      </c>
      <c r="E25" s="52">
        <f t="shared" ref="E25:W25" si="33">SUM(E17:E24)</f>
        <v>458398.44984635001</v>
      </c>
      <c r="F25" s="52">
        <f t="shared" si="33"/>
        <v>458398.44984635001</v>
      </c>
      <c r="G25" s="52">
        <f t="shared" si="33"/>
        <v>458398.44984635001</v>
      </c>
      <c r="H25" s="52">
        <f t="shared" si="33"/>
        <v>458398.44984635001</v>
      </c>
      <c r="I25" s="52">
        <f t="shared" si="33"/>
        <v>458398.44984635001</v>
      </c>
      <c r="J25" s="52">
        <f t="shared" si="33"/>
        <v>458398.44984635001</v>
      </c>
      <c r="K25" s="52">
        <f t="shared" si="33"/>
        <v>458398.44984635001</v>
      </c>
      <c r="L25" s="52">
        <f t="shared" si="33"/>
        <v>458398.44984635001</v>
      </c>
      <c r="M25" s="52">
        <f t="shared" si="33"/>
        <v>458398.44984635001</v>
      </c>
      <c r="N25" s="52">
        <f t="shared" si="33"/>
        <v>458398.44984635001</v>
      </c>
      <c r="O25" s="52">
        <f t="shared" si="33"/>
        <v>458398.44984635001</v>
      </c>
      <c r="P25" s="52">
        <f t="shared" si="33"/>
        <v>458398.44984635001</v>
      </c>
      <c r="Q25" s="52">
        <f t="shared" si="33"/>
        <v>458398.44984635001</v>
      </c>
      <c r="R25" s="52">
        <f t="shared" si="33"/>
        <v>458398.44984635001</v>
      </c>
      <c r="S25" s="52">
        <f t="shared" si="33"/>
        <v>458398.44984635001</v>
      </c>
      <c r="T25" s="52">
        <f t="shared" si="33"/>
        <v>458398.44984635001</v>
      </c>
      <c r="U25" s="52">
        <f t="shared" si="33"/>
        <v>458398.44984635001</v>
      </c>
      <c r="V25" s="52">
        <f t="shared" si="33"/>
        <v>458398.44984635001</v>
      </c>
      <c r="W25" s="52">
        <f t="shared" si="33"/>
        <v>458398.44984635001</v>
      </c>
      <c r="X25" s="155">
        <f>SUM(D25:W25)</f>
        <v>8709570.5470806472</v>
      </c>
    </row>
    <row r="26" spans="1:26" x14ac:dyDescent="0.15">
      <c r="B26" s="55" t="s">
        <v>24</v>
      </c>
      <c r="C26" s="56"/>
      <c r="D26" s="29">
        <f t="shared" ref="D26:M26" si="34">D8</f>
        <v>2026</v>
      </c>
      <c r="E26" s="29">
        <f t="shared" si="34"/>
        <v>2027</v>
      </c>
      <c r="F26" s="29">
        <f t="shared" si="34"/>
        <v>2028</v>
      </c>
      <c r="G26" s="29">
        <f t="shared" si="34"/>
        <v>2029</v>
      </c>
      <c r="H26" s="29">
        <f t="shared" si="34"/>
        <v>2030</v>
      </c>
      <c r="I26" s="29">
        <f t="shared" si="34"/>
        <v>2031</v>
      </c>
      <c r="J26" s="29">
        <f t="shared" si="34"/>
        <v>2032</v>
      </c>
      <c r="K26" s="29">
        <f t="shared" si="34"/>
        <v>2033</v>
      </c>
      <c r="L26" s="29">
        <f t="shared" si="34"/>
        <v>2034</v>
      </c>
      <c r="M26" s="29">
        <f t="shared" si="34"/>
        <v>2035</v>
      </c>
      <c r="N26" s="29">
        <f t="shared" ref="N26:P26" si="35">N8</f>
        <v>2036</v>
      </c>
      <c r="O26" s="29">
        <f t="shared" si="35"/>
        <v>2037</v>
      </c>
      <c r="P26" s="29">
        <f t="shared" si="35"/>
        <v>2038</v>
      </c>
      <c r="Q26" s="29"/>
      <c r="R26" s="29"/>
      <c r="S26" s="29"/>
      <c r="T26" s="29"/>
      <c r="U26" s="29"/>
      <c r="V26" s="29"/>
      <c r="W26" s="29"/>
      <c r="X26" s="56"/>
    </row>
    <row r="27" spans="1:26" x14ac:dyDescent="0.15">
      <c r="B27" s="31" t="s">
        <v>25</v>
      </c>
      <c r="C27" s="34"/>
      <c r="D27" s="58">
        <f t="shared" ref="D27:M27" si="36">D9</f>
        <v>2025</v>
      </c>
      <c r="E27" s="58">
        <f t="shared" si="36"/>
        <v>2026</v>
      </c>
      <c r="F27" s="58">
        <f t="shared" si="36"/>
        <v>2027</v>
      </c>
      <c r="G27" s="58">
        <f t="shared" si="36"/>
        <v>2028</v>
      </c>
      <c r="H27" s="58">
        <f t="shared" si="36"/>
        <v>2029</v>
      </c>
      <c r="I27" s="58">
        <f t="shared" si="36"/>
        <v>2030</v>
      </c>
      <c r="J27" s="58">
        <f t="shared" si="36"/>
        <v>2031</v>
      </c>
      <c r="K27" s="58">
        <f t="shared" si="36"/>
        <v>2032</v>
      </c>
      <c r="L27" s="58">
        <f t="shared" si="36"/>
        <v>2033</v>
      </c>
      <c r="M27" s="58">
        <f t="shared" si="36"/>
        <v>2034</v>
      </c>
      <c r="N27" s="58">
        <f t="shared" ref="N27:P27" si="37">N9</f>
        <v>2035</v>
      </c>
      <c r="O27" s="58">
        <f t="shared" si="37"/>
        <v>2036</v>
      </c>
      <c r="P27" s="58">
        <f t="shared" si="37"/>
        <v>2037</v>
      </c>
      <c r="Q27" s="58"/>
      <c r="R27" s="58"/>
      <c r="S27" s="58"/>
      <c r="T27" s="58"/>
      <c r="U27" s="58"/>
      <c r="V27" s="58"/>
      <c r="W27" s="58"/>
      <c r="X27" s="59" t="s">
        <v>9</v>
      </c>
      <c r="Y27" s="61"/>
      <c r="Z27" s="61"/>
    </row>
    <row r="28" spans="1:26" x14ac:dyDescent="0.15">
      <c r="B28" s="124" t="s">
        <v>26</v>
      </c>
      <c r="C28" s="121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6"/>
      <c r="Y28" s="18"/>
      <c r="Z28" s="18"/>
    </row>
    <row r="29" spans="1:26" x14ac:dyDescent="0.15">
      <c r="B29" s="36" t="str">
        <f t="shared" ref="B29:B34" si="38">B17</f>
        <v>Salt Lake County</v>
      </c>
      <c r="D29" s="62">
        <v>0</v>
      </c>
      <c r="E29" s="62">
        <f>D29</f>
        <v>0</v>
      </c>
      <c r="F29" s="62">
        <f t="shared" ref="F29:M36" si="39">E29</f>
        <v>0</v>
      </c>
      <c r="G29" s="62">
        <f t="shared" si="39"/>
        <v>0</v>
      </c>
      <c r="H29" s="62">
        <f t="shared" si="39"/>
        <v>0</v>
      </c>
      <c r="I29" s="62">
        <f t="shared" si="39"/>
        <v>0</v>
      </c>
      <c r="J29" s="62">
        <f t="shared" si="39"/>
        <v>0</v>
      </c>
      <c r="K29" s="62">
        <f t="shared" si="39"/>
        <v>0</v>
      </c>
      <c r="L29" s="62">
        <f t="shared" si="39"/>
        <v>0</v>
      </c>
      <c r="M29" s="62">
        <f t="shared" si="39"/>
        <v>0</v>
      </c>
      <c r="N29" s="62">
        <f t="shared" ref="N29:N35" si="40">M29</f>
        <v>0</v>
      </c>
      <c r="O29" s="62">
        <f t="shared" ref="O29:O36" si="41">N29</f>
        <v>0</v>
      </c>
      <c r="P29" s="62">
        <f t="shared" ref="P29:P36" si="42">O29</f>
        <v>0</v>
      </c>
      <c r="Q29" s="62">
        <f t="shared" ref="Q29:Q36" si="43">P29</f>
        <v>0</v>
      </c>
      <c r="R29" s="62">
        <f t="shared" ref="R29:R36" si="44">Q29</f>
        <v>0</v>
      </c>
      <c r="S29" s="62">
        <f t="shared" ref="S29:S36" si="45">R29</f>
        <v>0</v>
      </c>
      <c r="T29" s="62">
        <f t="shared" ref="T29:T36" si="46">S29</f>
        <v>0</v>
      </c>
      <c r="U29" s="62">
        <f t="shared" ref="U29:U36" si="47">T29</f>
        <v>0</v>
      </c>
      <c r="V29" s="62">
        <f t="shared" ref="V29:V36" si="48">U29</f>
        <v>0</v>
      </c>
      <c r="W29" s="62">
        <f t="shared" ref="W29:W36" si="49">V29</f>
        <v>0</v>
      </c>
      <c r="X29" s="63"/>
      <c r="Y29" s="65"/>
      <c r="Z29" s="65"/>
    </row>
    <row r="30" spans="1:26" x14ac:dyDescent="0.15">
      <c r="B30" s="36" t="str">
        <f t="shared" si="38"/>
        <v>Salt Lake County Library</v>
      </c>
      <c r="D30" s="62">
        <v>0</v>
      </c>
      <c r="E30" s="62">
        <f>D30</f>
        <v>0</v>
      </c>
      <c r="F30" s="62">
        <f t="shared" si="39"/>
        <v>0</v>
      </c>
      <c r="G30" s="62">
        <f t="shared" si="39"/>
        <v>0</v>
      </c>
      <c r="H30" s="62">
        <f t="shared" si="39"/>
        <v>0</v>
      </c>
      <c r="I30" s="62">
        <f t="shared" si="39"/>
        <v>0</v>
      </c>
      <c r="J30" s="62">
        <f t="shared" si="39"/>
        <v>0</v>
      </c>
      <c r="K30" s="62">
        <f t="shared" si="39"/>
        <v>0</v>
      </c>
      <c r="L30" s="62">
        <f t="shared" si="39"/>
        <v>0</v>
      </c>
      <c r="M30" s="62">
        <f t="shared" si="39"/>
        <v>0</v>
      </c>
      <c r="N30" s="62">
        <f t="shared" si="40"/>
        <v>0</v>
      </c>
      <c r="O30" s="62">
        <f t="shared" si="41"/>
        <v>0</v>
      </c>
      <c r="P30" s="62">
        <f t="shared" si="42"/>
        <v>0</v>
      </c>
      <c r="Q30" s="62">
        <f t="shared" si="43"/>
        <v>0</v>
      </c>
      <c r="R30" s="62">
        <f t="shared" si="44"/>
        <v>0</v>
      </c>
      <c r="S30" s="62">
        <f t="shared" si="45"/>
        <v>0</v>
      </c>
      <c r="T30" s="62">
        <f t="shared" si="46"/>
        <v>0</v>
      </c>
      <c r="U30" s="62">
        <f t="shared" si="47"/>
        <v>0</v>
      </c>
      <c r="V30" s="62">
        <f t="shared" si="48"/>
        <v>0</v>
      </c>
      <c r="W30" s="62">
        <f t="shared" si="49"/>
        <v>0</v>
      </c>
      <c r="X30" s="63"/>
      <c r="Y30" s="65"/>
      <c r="Z30" s="65"/>
    </row>
    <row r="31" spans="1:26" x14ac:dyDescent="0.15">
      <c r="B31" s="36" t="str">
        <f t="shared" si="38"/>
        <v>Granite School District</v>
      </c>
      <c r="D31" s="62">
        <v>0.75</v>
      </c>
      <c r="E31" s="62">
        <f t="shared" ref="E31:G36" si="50">D31</f>
        <v>0.75</v>
      </c>
      <c r="F31" s="62">
        <f t="shared" si="50"/>
        <v>0.75</v>
      </c>
      <c r="G31" s="62">
        <f t="shared" si="50"/>
        <v>0.75</v>
      </c>
      <c r="H31" s="62">
        <f t="shared" si="39"/>
        <v>0.75</v>
      </c>
      <c r="I31" s="62">
        <f t="shared" si="39"/>
        <v>0.75</v>
      </c>
      <c r="J31" s="62">
        <f t="shared" si="39"/>
        <v>0.75</v>
      </c>
      <c r="K31" s="62">
        <f t="shared" si="39"/>
        <v>0.75</v>
      </c>
      <c r="L31" s="62">
        <f t="shared" si="39"/>
        <v>0.75</v>
      </c>
      <c r="M31" s="62">
        <f t="shared" si="39"/>
        <v>0.75</v>
      </c>
      <c r="N31" s="62">
        <f t="shared" si="40"/>
        <v>0.75</v>
      </c>
      <c r="O31" s="62">
        <f t="shared" si="41"/>
        <v>0.75</v>
      </c>
      <c r="P31" s="62">
        <f t="shared" si="42"/>
        <v>0.75</v>
      </c>
      <c r="Q31" s="62">
        <f t="shared" si="43"/>
        <v>0.75</v>
      </c>
      <c r="R31" s="62">
        <f t="shared" si="44"/>
        <v>0.75</v>
      </c>
      <c r="S31" s="62">
        <v>0</v>
      </c>
      <c r="T31" s="62">
        <f t="shared" si="46"/>
        <v>0</v>
      </c>
      <c r="U31" s="62">
        <f t="shared" si="47"/>
        <v>0</v>
      </c>
      <c r="V31" s="62">
        <f t="shared" si="48"/>
        <v>0</v>
      </c>
      <c r="W31" s="62">
        <f t="shared" si="49"/>
        <v>0</v>
      </c>
      <c r="X31" s="63"/>
      <c r="Y31" s="65"/>
      <c r="Z31" s="65"/>
    </row>
    <row r="32" spans="1:26" x14ac:dyDescent="0.15">
      <c r="B32" s="36" t="str">
        <f t="shared" si="38"/>
        <v>Millcreek City</v>
      </c>
      <c r="D32" s="62">
        <v>0.9</v>
      </c>
      <c r="E32" s="62">
        <f t="shared" si="50"/>
        <v>0.9</v>
      </c>
      <c r="F32" s="62">
        <f t="shared" si="50"/>
        <v>0.9</v>
      </c>
      <c r="G32" s="62">
        <f t="shared" si="50"/>
        <v>0.9</v>
      </c>
      <c r="H32" s="62">
        <f t="shared" si="39"/>
        <v>0.9</v>
      </c>
      <c r="I32" s="62">
        <f t="shared" si="39"/>
        <v>0.9</v>
      </c>
      <c r="J32" s="62">
        <f t="shared" si="39"/>
        <v>0.9</v>
      </c>
      <c r="K32" s="62">
        <f t="shared" si="39"/>
        <v>0.9</v>
      </c>
      <c r="L32" s="62">
        <f t="shared" si="39"/>
        <v>0.9</v>
      </c>
      <c r="M32" s="62">
        <f t="shared" si="39"/>
        <v>0.9</v>
      </c>
      <c r="N32" s="62">
        <f t="shared" si="40"/>
        <v>0.9</v>
      </c>
      <c r="O32" s="62">
        <f t="shared" si="41"/>
        <v>0.9</v>
      </c>
      <c r="P32" s="62">
        <f t="shared" si="42"/>
        <v>0.9</v>
      </c>
      <c r="Q32" s="62">
        <f t="shared" si="43"/>
        <v>0.9</v>
      </c>
      <c r="R32" s="62">
        <f t="shared" si="44"/>
        <v>0.9</v>
      </c>
      <c r="S32" s="62">
        <f t="shared" si="45"/>
        <v>0.9</v>
      </c>
      <c r="T32" s="62">
        <f t="shared" si="46"/>
        <v>0.9</v>
      </c>
      <c r="U32" s="62">
        <f t="shared" si="47"/>
        <v>0.9</v>
      </c>
      <c r="V32" s="62">
        <f t="shared" si="48"/>
        <v>0.9</v>
      </c>
      <c r="W32" s="62">
        <f t="shared" si="49"/>
        <v>0.9</v>
      </c>
      <c r="X32" s="63"/>
      <c r="Y32" s="65"/>
      <c r="Z32" s="65"/>
    </row>
    <row r="33" spans="2:26" x14ac:dyDescent="0.15">
      <c r="B33" s="36" t="str">
        <f t="shared" si="38"/>
        <v>South Salt Lake Valley Mosquito Abatement District</v>
      </c>
      <c r="D33" s="62">
        <v>0</v>
      </c>
      <c r="E33" s="62">
        <f>D33</f>
        <v>0</v>
      </c>
      <c r="F33" s="62">
        <f t="shared" si="50"/>
        <v>0</v>
      </c>
      <c r="G33" s="62">
        <f t="shared" si="50"/>
        <v>0</v>
      </c>
      <c r="H33" s="62">
        <f t="shared" si="39"/>
        <v>0</v>
      </c>
      <c r="I33" s="62">
        <f t="shared" si="39"/>
        <v>0</v>
      </c>
      <c r="J33" s="62">
        <f t="shared" si="39"/>
        <v>0</v>
      </c>
      <c r="K33" s="62">
        <f t="shared" si="39"/>
        <v>0</v>
      </c>
      <c r="L33" s="62">
        <f t="shared" si="39"/>
        <v>0</v>
      </c>
      <c r="M33" s="62">
        <f t="shared" si="39"/>
        <v>0</v>
      </c>
      <c r="N33" s="62">
        <f t="shared" si="40"/>
        <v>0</v>
      </c>
      <c r="O33" s="62">
        <f t="shared" si="41"/>
        <v>0</v>
      </c>
      <c r="P33" s="62">
        <f t="shared" si="42"/>
        <v>0</v>
      </c>
      <c r="Q33" s="62">
        <f t="shared" si="43"/>
        <v>0</v>
      </c>
      <c r="R33" s="62">
        <f t="shared" si="44"/>
        <v>0</v>
      </c>
      <c r="S33" s="62">
        <f t="shared" si="45"/>
        <v>0</v>
      </c>
      <c r="T33" s="62">
        <f t="shared" si="46"/>
        <v>0</v>
      </c>
      <c r="U33" s="62">
        <f t="shared" si="47"/>
        <v>0</v>
      </c>
      <c r="V33" s="62">
        <f t="shared" si="48"/>
        <v>0</v>
      </c>
      <c r="W33" s="62">
        <f t="shared" si="49"/>
        <v>0</v>
      </c>
      <c r="X33" s="63"/>
      <c r="Y33" s="65"/>
      <c r="Z33" s="65"/>
    </row>
    <row r="34" spans="2:26" x14ac:dyDescent="0.15">
      <c r="B34" s="36" t="str">
        <f t="shared" si="38"/>
        <v>Central Utah Water Conservancy District</v>
      </c>
      <c r="D34" s="62">
        <v>0</v>
      </c>
      <c r="E34" s="62">
        <f t="shared" si="50"/>
        <v>0</v>
      </c>
      <c r="F34" s="62">
        <f t="shared" si="50"/>
        <v>0</v>
      </c>
      <c r="G34" s="62">
        <f t="shared" si="50"/>
        <v>0</v>
      </c>
      <c r="H34" s="62">
        <f t="shared" si="39"/>
        <v>0</v>
      </c>
      <c r="I34" s="62">
        <f t="shared" si="39"/>
        <v>0</v>
      </c>
      <c r="J34" s="62">
        <f t="shared" si="39"/>
        <v>0</v>
      </c>
      <c r="K34" s="62">
        <f t="shared" si="39"/>
        <v>0</v>
      </c>
      <c r="L34" s="62">
        <f t="shared" si="39"/>
        <v>0</v>
      </c>
      <c r="M34" s="62">
        <f t="shared" si="39"/>
        <v>0</v>
      </c>
      <c r="N34" s="62">
        <f t="shared" si="40"/>
        <v>0</v>
      </c>
      <c r="O34" s="62">
        <f t="shared" si="41"/>
        <v>0</v>
      </c>
      <c r="P34" s="62">
        <f t="shared" si="42"/>
        <v>0</v>
      </c>
      <c r="Q34" s="62">
        <f t="shared" si="43"/>
        <v>0</v>
      </c>
      <c r="R34" s="62">
        <f t="shared" si="44"/>
        <v>0</v>
      </c>
      <c r="S34" s="62">
        <f t="shared" si="45"/>
        <v>0</v>
      </c>
      <c r="T34" s="62">
        <f t="shared" si="46"/>
        <v>0</v>
      </c>
      <c r="U34" s="62">
        <f t="shared" si="47"/>
        <v>0</v>
      </c>
      <c r="V34" s="62">
        <f t="shared" si="48"/>
        <v>0</v>
      </c>
      <c r="W34" s="62">
        <f t="shared" si="49"/>
        <v>0</v>
      </c>
      <c r="X34" s="63"/>
      <c r="Y34" s="65"/>
      <c r="Z34" s="65"/>
    </row>
    <row r="35" spans="2:26" x14ac:dyDescent="0.15">
      <c r="B35" s="36" t="s">
        <v>85</v>
      </c>
      <c r="D35" s="62">
        <v>0.65</v>
      </c>
      <c r="E35" s="62">
        <f t="shared" si="50"/>
        <v>0.65</v>
      </c>
      <c r="F35" s="62">
        <f t="shared" si="50"/>
        <v>0.65</v>
      </c>
      <c r="G35" s="62">
        <f t="shared" si="50"/>
        <v>0.65</v>
      </c>
      <c r="H35" s="62">
        <f t="shared" si="39"/>
        <v>0.65</v>
      </c>
      <c r="I35" s="62">
        <f t="shared" si="39"/>
        <v>0.65</v>
      </c>
      <c r="J35" s="62">
        <f t="shared" si="39"/>
        <v>0.65</v>
      </c>
      <c r="K35" s="62">
        <f t="shared" si="39"/>
        <v>0.65</v>
      </c>
      <c r="L35" s="62">
        <f t="shared" si="39"/>
        <v>0.65</v>
      </c>
      <c r="M35" s="62">
        <f t="shared" si="39"/>
        <v>0.65</v>
      </c>
      <c r="N35" s="62">
        <f t="shared" si="40"/>
        <v>0.65</v>
      </c>
      <c r="O35" s="62">
        <f t="shared" si="41"/>
        <v>0.65</v>
      </c>
      <c r="P35" s="62">
        <f t="shared" si="42"/>
        <v>0.65</v>
      </c>
      <c r="Q35" s="62">
        <f t="shared" si="43"/>
        <v>0.65</v>
      </c>
      <c r="R35" s="62">
        <f t="shared" si="44"/>
        <v>0.65</v>
      </c>
      <c r="S35" s="62">
        <f t="shared" si="45"/>
        <v>0.65</v>
      </c>
      <c r="T35" s="62">
        <f t="shared" si="46"/>
        <v>0.65</v>
      </c>
      <c r="U35" s="62">
        <f t="shared" si="47"/>
        <v>0.65</v>
      </c>
      <c r="V35" s="62">
        <f t="shared" si="48"/>
        <v>0.65</v>
      </c>
      <c r="W35" s="62">
        <f t="shared" si="49"/>
        <v>0.65</v>
      </c>
      <c r="X35" s="63"/>
      <c r="Y35" s="65"/>
      <c r="Z35" s="65"/>
    </row>
    <row r="36" spans="2:26" x14ac:dyDescent="0.15">
      <c r="B36" s="36" t="s">
        <v>86</v>
      </c>
      <c r="D36" s="62">
        <v>0.65</v>
      </c>
      <c r="E36" s="62">
        <f t="shared" si="50"/>
        <v>0.65</v>
      </c>
      <c r="F36" s="62">
        <f t="shared" si="50"/>
        <v>0.65</v>
      </c>
      <c r="G36" s="62">
        <f t="shared" si="50"/>
        <v>0.65</v>
      </c>
      <c r="H36" s="62">
        <f t="shared" si="39"/>
        <v>0.65</v>
      </c>
      <c r="I36" s="62">
        <f t="shared" si="39"/>
        <v>0.65</v>
      </c>
      <c r="J36" s="62">
        <f t="shared" si="39"/>
        <v>0.65</v>
      </c>
      <c r="K36" s="62">
        <f t="shared" si="39"/>
        <v>0.65</v>
      </c>
      <c r="L36" s="62">
        <f t="shared" si="39"/>
        <v>0.65</v>
      </c>
      <c r="M36" s="62">
        <f t="shared" si="39"/>
        <v>0.65</v>
      </c>
      <c r="N36" s="62">
        <v>0.65</v>
      </c>
      <c r="O36" s="62">
        <f t="shared" si="41"/>
        <v>0.65</v>
      </c>
      <c r="P36" s="62">
        <f t="shared" si="42"/>
        <v>0.65</v>
      </c>
      <c r="Q36" s="62">
        <f t="shared" si="43"/>
        <v>0.65</v>
      </c>
      <c r="R36" s="62">
        <f t="shared" si="44"/>
        <v>0.65</v>
      </c>
      <c r="S36" s="62">
        <f t="shared" si="45"/>
        <v>0.65</v>
      </c>
      <c r="T36" s="62">
        <f t="shared" si="46"/>
        <v>0.65</v>
      </c>
      <c r="U36" s="62">
        <f t="shared" si="47"/>
        <v>0.65</v>
      </c>
      <c r="V36" s="62">
        <f t="shared" si="48"/>
        <v>0.65</v>
      </c>
      <c r="W36" s="62">
        <f t="shared" si="49"/>
        <v>0.65</v>
      </c>
      <c r="X36" s="63"/>
      <c r="Y36" s="65"/>
      <c r="Z36" s="65"/>
    </row>
    <row r="37" spans="2:26" x14ac:dyDescent="0.15">
      <c r="B37" s="124" t="s">
        <v>27</v>
      </c>
      <c r="C37" s="128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9"/>
      <c r="Y37" s="61"/>
      <c r="Z37" s="61"/>
    </row>
    <row r="38" spans="2:26" x14ac:dyDescent="0.15">
      <c r="B38" s="36" t="s">
        <v>17</v>
      </c>
      <c r="D38" s="66">
        <f t="shared" ref="D38:M38" si="51">D17*D29</f>
        <v>0</v>
      </c>
      <c r="E38" s="66">
        <f t="shared" si="51"/>
        <v>0</v>
      </c>
      <c r="F38" s="66">
        <f t="shared" si="51"/>
        <v>0</v>
      </c>
      <c r="G38" s="66">
        <f t="shared" si="51"/>
        <v>0</v>
      </c>
      <c r="H38" s="66">
        <f t="shared" si="51"/>
        <v>0</v>
      </c>
      <c r="I38" s="66">
        <f t="shared" si="51"/>
        <v>0</v>
      </c>
      <c r="J38" s="66">
        <f t="shared" si="51"/>
        <v>0</v>
      </c>
      <c r="K38" s="66">
        <f t="shared" si="51"/>
        <v>0</v>
      </c>
      <c r="L38" s="66">
        <f t="shared" si="51"/>
        <v>0</v>
      </c>
      <c r="M38" s="66">
        <f t="shared" si="51"/>
        <v>0</v>
      </c>
      <c r="N38" s="66">
        <f t="shared" ref="N38:P38" si="52">N17*N29</f>
        <v>0</v>
      </c>
      <c r="O38" s="66">
        <f t="shared" si="52"/>
        <v>0</v>
      </c>
      <c r="P38" s="66">
        <f t="shared" si="52"/>
        <v>0</v>
      </c>
      <c r="Q38" s="66">
        <f t="shared" ref="Q38:W38" si="53">Q17*Q29</f>
        <v>0</v>
      </c>
      <c r="R38" s="66">
        <f t="shared" si="53"/>
        <v>0</v>
      </c>
      <c r="S38" s="66">
        <f t="shared" si="53"/>
        <v>0</v>
      </c>
      <c r="T38" s="66">
        <f t="shared" si="53"/>
        <v>0</v>
      </c>
      <c r="U38" s="66">
        <f t="shared" si="53"/>
        <v>0</v>
      </c>
      <c r="V38" s="66">
        <f t="shared" si="53"/>
        <v>0</v>
      </c>
      <c r="W38" s="66">
        <f t="shared" si="53"/>
        <v>0</v>
      </c>
      <c r="X38" s="67">
        <f>SUM(D38:W38)</f>
        <v>0</v>
      </c>
      <c r="Y38" s="69"/>
      <c r="Z38" s="41"/>
    </row>
    <row r="39" spans="2:26" x14ac:dyDescent="0.15">
      <c r="B39" s="36" t="s">
        <v>18</v>
      </c>
      <c r="D39" s="66">
        <f t="shared" ref="D39:M39" si="54">D18*D30</f>
        <v>0</v>
      </c>
      <c r="E39" s="66">
        <f t="shared" si="54"/>
        <v>0</v>
      </c>
      <c r="F39" s="66">
        <f t="shared" si="54"/>
        <v>0</v>
      </c>
      <c r="G39" s="66">
        <f t="shared" si="54"/>
        <v>0</v>
      </c>
      <c r="H39" s="66">
        <f t="shared" si="54"/>
        <v>0</v>
      </c>
      <c r="I39" s="66">
        <f t="shared" si="54"/>
        <v>0</v>
      </c>
      <c r="J39" s="66">
        <f t="shared" si="54"/>
        <v>0</v>
      </c>
      <c r="K39" s="66">
        <f t="shared" si="54"/>
        <v>0</v>
      </c>
      <c r="L39" s="66">
        <f t="shared" si="54"/>
        <v>0</v>
      </c>
      <c r="M39" s="66">
        <f t="shared" si="54"/>
        <v>0</v>
      </c>
      <c r="N39" s="66">
        <f t="shared" ref="N39:P39" si="55">N18*N30</f>
        <v>0</v>
      </c>
      <c r="O39" s="66">
        <f t="shared" si="55"/>
        <v>0</v>
      </c>
      <c r="P39" s="66">
        <f t="shared" si="55"/>
        <v>0</v>
      </c>
      <c r="Q39" s="66">
        <f t="shared" ref="Q39:W39" si="56">Q18*Q30</f>
        <v>0</v>
      </c>
      <c r="R39" s="66">
        <f t="shared" si="56"/>
        <v>0</v>
      </c>
      <c r="S39" s="66">
        <f t="shared" si="56"/>
        <v>0</v>
      </c>
      <c r="T39" s="66">
        <f t="shared" si="56"/>
        <v>0</v>
      </c>
      <c r="U39" s="66">
        <f t="shared" si="56"/>
        <v>0</v>
      </c>
      <c r="V39" s="66">
        <f t="shared" si="56"/>
        <v>0</v>
      </c>
      <c r="W39" s="66">
        <f t="shared" si="56"/>
        <v>0</v>
      </c>
      <c r="X39" s="67">
        <f t="shared" ref="X39:X42" si="57">SUM(D39:W39)</f>
        <v>0</v>
      </c>
      <c r="Y39" s="70"/>
      <c r="Z39" s="41"/>
    </row>
    <row r="40" spans="2:26" x14ac:dyDescent="0.15">
      <c r="B40" s="36" t="s">
        <v>19</v>
      </c>
      <c r="D40" s="66">
        <f t="shared" ref="D40:M40" si="58">D19*D31</f>
        <v>0</v>
      </c>
      <c r="E40" s="66">
        <f t="shared" si="58"/>
        <v>188212.56616370892</v>
      </c>
      <c r="F40" s="66">
        <f t="shared" si="58"/>
        <v>188212.56616370892</v>
      </c>
      <c r="G40" s="66">
        <f t="shared" si="58"/>
        <v>188212.56616370892</v>
      </c>
      <c r="H40" s="66">
        <f t="shared" si="58"/>
        <v>188212.56616370892</v>
      </c>
      <c r="I40" s="66">
        <f t="shared" si="58"/>
        <v>188212.56616370892</v>
      </c>
      <c r="J40" s="66">
        <f t="shared" si="58"/>
        <v>188212.56616370892</v>
      </c>
      <c r="K40" s="66">
        <f t="shared" si="58"/>
        <v>188212.56616370892</v>
      </c>
      <c r="L40" s="66">
        <f t="shared" si="58"/>
        <v>188212.56616370892</v>
      </c>
      <c r="M40" s="66">
        <f t="shared" si="58"/>
        <v>188212.56616370892</v>
      </c>
      <c r="N40" s="66">
        <f t="shared" ref="N40:P40" si="59">N19*N31</f>
        <v>188212.56616370892</v>
      </c>
      <c r="O40" s="66">
        <f t="shared" si="59"/>
        <v>188212.56616370892</v>
      </c>
      <c r="P40" s="66">
        <f t="shared" si="59"/>
        <v>188212.56616370892</v>
      </c>
      <c r="Q40" s="66">
        <f t="shared" ref="Q40:W40" si="60">Q19*Q31</f>
        <v>188212.56616370892</v>
      </c>
      <c r="R40" s="66">
        <f t="shared" si="60"/>
        <v>188212.56616370892</v>
      </c>
      <c r="S40" s="66">
        <f t="shared" si="60"/>
        <v>0</v>
      </c>
      <c r="T40" s="66">
        <f t="shared" si="60"/>
        <v>0</v>
      </c>
      <c r="U40" s="66">
        <f t="shared" si="60"/>
        <v>0</v>
      </c>
      <c r="V40" s="66">
        <f t="shared" si="60"/>
        <v>0</v>
      </c>
      <c r="W40" s="66">
        <f t="shared" si="60"/>
        <v>0</v>
      </c>
      <c r="X40" s="67">
        <f t="shared" si="57"/>
        <v>2634975.9262919249</v>
      </c>
      <c r="Y40" s="70"/>
      <c r="Z40" s="41"/>
    </row>
    <row r="41" spans="2:26" x14ac:dyDescent="0.15">
      <c r="B41" s="36" t="s">
        <v>82</v>
      </c>
      <c r="D41" s="66">
        <f>D20*D32</f>
        <v>0</v>
      </c>
      <c r="E41" s="66">
        <f t="shared" ref="E41:M41" si="61">E20*E32</f>
        <v>51999.275925058297</v>
      </c>
      <c r="F41" s="66">
        <f t="shared" si="61"/>
        <v>51999.275925058297</v>
      </c>
      <c r="G41" s="66">
        <f t="shared" si="61"/>
        <v>51999.275925058297</v>
      </c>
      <c r="H41" s="66">
        <f t="shared" si="61"/>
        <v>51999.275925058297</v>
      </c>
      <c r="I41" s="66">
        <f t="shared" si="61"/>
        <v>51999.275925058297</v>
      </c>
      <c r="J41" s="66">
        <f t="shared" si="61"/>
        <v>51999.275925058297</v>
      </c>
      <c r="K41" s="66">
        <f t="shared" si="61"/>
        <v>51999.275925058297</v>
      </c>
      <c r="L41" s="66">
        <f t="shared" si="61"/>
        <v>51999.275925058297</v>
      </c>
      <c r="M41" s="66">
        <f t="shared" si="61"/>
        <v>51999.275925058297</v>
      </c>
      <c r="N41" s="66">
        <f t="shared" ref="N41:P41" si="62">N20*N32</f>
        <v>51999.275925058297</v>
      </c>
      <c r="O41" s="66">
        <f t="shared" si="62"/>
        <v>51999.275925058297</v>
      </c>
      <c r="P41" s="66">
        <f t="shared" si="62"/>
        <v>51999.275925058297</v>
      </c>
      <c r="Q41" s="66">
        <f t="shared" ref="Q41:W41" si="63">Q20*Q32</f>
        <v>51999.275925058297</v>
      </c>
      <c r="R41" s="66">
        <f t="shared" si="63"/>
        <v>51999.275925058297</v>
      </c>
      <c r="S41" s="66">
        <f t="shared" si="63"/>
        <v>51999.275925058297</v>
      </c>
      <c r="T41" s="66">
        <f t="shared" si="63"/>
        <v>51999.275925058297</v>
      </c>
      <c r="U41" s="66">
        <f t="shared" si="63"/>
        <v>51999.275925058297</v>
      </c>
      <c r="V41" s="66">
        <f t="shared" si="63"/>
        <v>51999.275925058297</v>
      </c>
      <c r="W41" s="66">
        <f t="shared" si="63"/>
        <v>51999.275925058297</v>
      </c>
      <c r="X41" s="67">
        <f t="shared" si="57"/>
        <v>987986.24257610762</v>
      </c>
      <c r="Y41" s="70"/>
      <c r="Z41" s="41"/>
    </row>
    <row r="42" spans="2:26" x14ac:dyDescent="0.15">
      <c r="B42" s="36" t="s">
        <v>21</v>
      </c>
      <c r="D42" s="66">
        <f t="shared" ref="D42:M42" si="64">D21*D33</f>
        <v>0</v>
      </c>
      <c r="E42" s="66">
        <f t="shared" si="64"/>
        <v>0</v>
      </c>
      <c r="F42" s="66">
        <f t="shared" si="64"/>
        <v>0</v>
      </c>
      <c r="G42" s="66">
        <f t="shared" si="64"/>
        <v>0</v>
      </c>
      <c r="H42" s="66">
        <f t="shared" si="64"/>
        <v>0</v>
      </c>
      <c r="I42" s="66">
        <f t="shared" si="64"/>
        <v>0</v>
      </c>
      <c r="J42" s="66">
        <f t="shared" si="64"/>
        <v>0</v>
      </c>
      <c r="K42" s="66">
        <f t="shared" si="64"/>
        <v>0</v>
      </c>
      <c r="L42" s="66">
        <f t="shared" si="64"/>
        <v>0</v>
      </c>
      <c r="M42" s="66">
        <f t="shared" si="64"/>
        <v>0</v>
      </c>
      <c r="N42" s="66">
        <f t="shared" ref="N42:P42" si="65">N21*N33</f>
        <v>0</v>
      </c>
      <c r="O42" s="66">
        <f t="shared" si="65"/>
        <v>0</v>
      </c>
      <c r="P42" s="66">
        <f t="shared" si="65"/>
        <v>0</v>
      </c>
      <c r="Q42" s="66">
        <f t="shared" ref="Q42:W42" si="66">Q21*Q33</f>
        <v>0</v>
      </c>
      <c r="R42" s="66">
        <f t="shared" si="66"/>
        <v>0</v>
      </c>
      <c r="S42" s="66">
        <f t="shared" si="66"/>
        <v>0</v>
      </c>
      <c r="T42" s="66">
        <f t="shared" si="66"/>
        <v>0</v>
      </c>
      <c r="U42" s="66">
        <f t="shared" si="66"/>
        <v>0</v>
      </c>
      <c r="V42" s="66">
        <f t="shared" si="66"/>
        <v>0</v>
      </c>
      <c r="W42" s="66">
        <f t="shared" si="66"/>
        <v>0</v>
      </c>
      <c r="X42" s="67">
        <f t="shared" si="57"/>
        <v>0</v>
      </c>
      <c r="Y42" s="70"/>
      <c r="Z42" s="41"/>
    </row>
    <row r="43" spans="2:26" x14ac:dyDescent="0.15">
      <c r="B43" s="36" t="s">
        <v>22</v>
      </c>
      <c r="D43" s="66">
        <f t="shared" ref="D43:M43" si="67">D22*D34</f>
        <v>0</v>
      </c>
      <c r="E43" s="66">
        <f>E22*E34</f>
        <v>0</v>
      </c>
      <c r="F43" s="66">
        <f t="shared" si="67"/>
        <v>0</v>
      </c>
      <c r="G43" s="66">
        <f t="shared" si="67"/>
        <v>0</v>
      </c>
      <c r="H43" s="66">
        <f t="shared" si="67"/>
        <v>0</v>
      </c>
      <c r="I43" s="66">
        <f t="shared" si="67"/>
        <v>0</v>
      </c>
      <c r="J43" s="66">
        <f t="shared" si="67"/>
        <v>0</v>
      </c>
      <c r="K43" s="66">
        <f t="shared" si="67"/>
        <v>0</v>
      </c>
      <c r="L43" s="66">
        <f t="shared" si="67"/>
        <v>0</v>
      </c>
      <c r="M43" s="66">
        <f t="shared" si="67"/>
        <v>0</v>
      </c>
      <c r="N43" s="66">
        <f t="shared" ref="N43:P43" si="68">N22*N34</f>
        <v>0</v>
      </c>
      <c r="O43" s="66">
        <f t="shared" si="68"/>
        <v>0</v>
      </c>
      <c r="P43" s="66">
        <f t="shared" si="68"/>
        <v>0</v>
      </c>
      <c r="Q43" s="66">
        <f t="shared" ref="Q43:W43" si="69">Q22*Q34</f>
        <v>0</v>
      </c>
      <c r="R43" s="66">
        <f t="shared" si="69"/>
        <v>0</v>
      </c>
      <c r="S43" s="66">
        <f t="shared" si="69"/>
        <v>0</v>
      </c>
      <c r="T43" s="66">
        <f t="shared" si="69"/>
        <v>0</v>
      </c>
      <c r="U43" s="66">
        <f t="shared" si="69"/>
        <v>0</v>
      </c>
      <c r="V43" s="66">
        <f t="shared" si="69"/>
        <v>0</v>
      </c>
      <c r="W43" s="66">
        <f t="shared" si="69"/>
        <v>0</v>
      </c>
      <c r="X43" s="67">
        <f>SUM(D43:W43)</f>
        <v>0</v>
      </c>
      <c r="Y43" s="70"/>
      <c r="Z43" s="41"/>
    </row>
    <row r="44" spans="2:26" x14ac:dyDescent="0.15">
      <c r="B44" s="36" t="s">
        <v>85</v>
      </c>
      <c r="D44" s="66"/>
      <c r="E44" s="66">
        <f>E23*E35</f>
        <v>4859.1508129097829</v>
      </c>
      <c r="F44" s="66">
        <f>F23*F35</f>
        <v>4859.1508129097829</v>
      </c>
      <c r="G44" s="66">
        <f>F23*F35</f>
        <v>4859.1508129097829</v>
      </c>
      <c r="H44" s="66">
        <f>G23*G35</f>
        <v>4859.1508129097829</v>
      </c>
      <c r="I44" s="66">
        <f>H23*H35</f>
        <v>4859.1508129097829</v>
      </c>
      <c r="J44" s="66">
        <f t="shared" ref="J44:W44" si="70">I23*I35</f>
        <v>4859.1508129097829</v>
      </c>
      <c r="K44" s="66">
        <f t="shared" si="70"/>
        <v>4859.1508129097829</v>
      </c>
      <c r="L44" s="66">
        <f t="shared" si="70"/>
        <v>4859.1508129097829</v>
      </c>
      <c r="M44" s="66">
        <f t="shared" si="70"/>
        <v>4859.1508129097829</v>
      </c>
      <c r="N44" s="66">
        <f t="shared" si="70"/>
        <v>4859.1508129097829</v>
      </c>
      <c r="O44" s="66">
        <f t="shared" si="70"/>
        <v>4859.1508129097829</v>
      </c>
      <c r="P44" s="66">
        <f t="shared" si="70"/>
        <v>4859.1508129097829</v>
      </c>
      <c r="Q44" s="66">
        <f t="shared" si="70"/>
        <v>4859.1508129097829</v>
      </c>
      <c r="R44" s="66">
        <f t="shared" si="70"/>
        <v>4859.1508129097829</v>
      </c>
      <c r="S44" s="66">
        <f t="shared" si="70"/>
        <v>4859.1508129097829</v>
      </c>
      <c r="T44" s="66">
        <f t="shared" si="70"/>
        <v>4859.1508129097829</v>
      </c>
      <c r="U44" s="66">
        <f t="shared" si="70"/>
        <v>4859.1508129097829</v>
      </c>
      <c r="V44" s="66">
        <f t="shared" si="70"/>
        <v>4859.1508129097829</v>
      </c>
      <c r="W44" s="66">
        <f t="shared" si="70"/>
        <v>4859.1508129097829</v>
      </c>
      <c r="X44" s="67">
        <f>SUM(E44:W44)</f>
        <v>92323.865445285861</v>
      </c>
      <c r="Y44" s="70"/>
      <c r="Z44" s="41"/>
    </row>
    <row r="45" spans="2:26" x14ac:dyDescent="0.15">
      <c r="B45" s="36" t="s">
        <v>86</v>
      </c>
      <c r="D45" s="66"/>
      <c r="E45" s="66">
        <f>E24*E36</f>
        <v>34169.13497163156</v>
      </c>
      <c r="F45" s="66">
        <f t="shared" ref="F45:W45" si="71">F24*F36</f>
        <v>34169.13497163156</v>
      </c>
      <c r="G45" s="66">
        <f t="shared" si="71"/>
        <v>34169.13497163156</v>
      </c>
      <c r="H45" s="66">
        <f t="shared" si="71"/>
        <v>34169.13497163156</v>
      </c>
      <c r="I45" s="66">
        <f t="shared" si="71"/>
        <v>34169.13497163156</v>
      </c>
      <c r="J45" s="66">
        <f t="shared" si="71"/>
        <v>34169.13497163156</v>
      </c>
      <c r="K45" s="66">
        <f t="shared" si="71"/>
        <v>34169.13497163156</v>
      </c>
      <c r="L45" s="66">
        <f t="shared" si="71"/>
        <v>34169.13497163156</v>
      </c>
      <c r="M45" s="66">
        <f t="shared" si="71"/>
        <v>34169.13497163156</v>
      </c>
      <c r="N45" s="66">
        <f t="shared" si="71"/>
        <v>34169.13497163156</v>
      </c>
      <c r="O45" s="66">
        <f t="shared" si="71"/>
        <v>34169.13497163156</v>
      </c>
      <c r="P45" s="66">
        <f t="shared" si="71"/>
        <v>34169.13497163156</v>
      </c>
      <c r="Q45" s="66">
        <f t="shared" si="71"/>
        <v>34169.13497163156</v>
      </c>
      <c r="R45" s="66">
        <f t="shared" si="71"/>
        <v>34169.13497163156</v>
      </c>
      <c r="S45" s="66">
        <f t="shared" si="71"/>
        <v>34169.13497163156</v>
      </c>
      <c r="T45" s="66">
        <f t="shared" si="71"/>
        <v>34169.13497163156</v>
      </c>
      <c r="U45" s="66">
        <f t="shared" si="71"/>
        <v>34169.13497163156</v>
      </c>
      <c r="V45" s="66">
        <f t="shared" si="71"/>
        <v>34169.13497163156</v>
      </c>
      <c r="W45" s="66">
        <f t="shared" si="71"/>
        <v>34169.13497163156</v>
      </c>
      <c r="X45" s="67">
        <f>SUM(E45:W45)</f>
        <v>649213.5644609998</v>
      </c>
      <c r="Y45" s="70"/>
      <c r="Z45" s="41"/>
    </row>
    <row r="46" spans="2:26" x14ac:dyDescent="0.15">
      <c r="B46" s="71" t="s">
        <v>28</v>
      </c>
      <c r="C46" s="72"/>
      <c r="D46" s="73">
        <f t="shared" ref="D46" si="72">SUM(D38:D43)</f>
        <v>0</v>
      </c>
      <c r="E46" s="73">
        <f>SUM(E38:E45)</f>
        <v>279240.12787330855</v>
      </c>
      <c r="F46" s="73">
        <f t="shared" ref="F46:W46" si="73">SUM(F38:F45)</f>
        <v>279240.12787330855</v>
      </c>
      <c r="G46" s="73">
        <f t="shared" si="73"/>
        <v>279240.12787330855</v>
      </c>
      <c r="H46" s="73">
        <f t="shared" si="73"/>
        <v>279240.12787330855</v>
      </c>
      <c r="I46" s="73">
        <f t="shared" si="73"/>
        <v>279240.12787330855</v>
      </c>
      <c r="J46" s="73">
        <f t="shared" si="73"/>
        <v>279240.12787330855</v>
      </c>
      <c r="K46" s="73">
        <f t="shared" si="73"/>
        <v>279240.12787330855</v>
      </c>
      <c r="L46" s="73">
        <f t="shared" si="73"/>
        <v>279240.12787330855</v>
      </c>
      <c r="M46" s="73">
        <f t="shared" si="73"/>
        <v>279240.12787330855</v>
      </c>
      <c r="N46" s="73">
        <f t="shared" si="73"/>
        <v>279240.12787330855</v>
      </c>
      <c r="O46" s="73">
        <f t="shared" si="73"/>
        <v>279240.12787330855</v>
      </c>
      <c r="P46" s="73">
        <f t="shared" si="73"/>
        <v>279240.12787330855</v>
      </c>
      <c r="Q46" s="73">
        <f t="shared" si="73"/>
        <v>279240.12787330855</v>
      </c>
      <c r="R46" s="73">
        <f t="shared" si="73"/>
        <v>279240.12787330855</v>
      </c>
      <c r="S46" s="73">
        <f t="shared" si="73"/>
        <v>91027.561709599642</v>
      </c>
      <c r="T46" s="73">
        <f t="shared" si="73"/>
        <v>91027.561709599642</v>
      </c>
      <c r="U46" s="73">
        <f t="shared" si="73"/>
        <v>91027.561709599642</v>
      </c>
      <c r="V46" s="73">
        <f t="shared" si="73"/>
        <v>91027.561709599642</v>
      </c>
      <c r="W46" s="73">
        <f t="shared" si="73"/>
        <v>91027.561709599642</v>
      </c>
      <c r="X46" s="53">
        <f>SUM(X38:X45)</f>
        <v>4364499.5987743177</v>
      </c>
      <c r="Y46" s="75"/>
      <c r="Z46" s="41"/>
    </row>
    <row r="47" spans="2:26" x14ac:dyDescent="0.15">
      <c r="B47" s="55" t="s">
        <v>29</v>
      </c>
      <c r="C47" s="56"/>
      <c r="D47" s="29">
        <f t="shared" ref="D47:M47" si="74">D26</f>
        <v>2026</v>
      </c>
      <c r="E47" s="29">
        <f t="shared" si="74"/>
        <v>2027</v>
      </c>
      <c r="F47" s="29">
        <f t="shared" si="74"/>
        <v>2028</v>
      </c>
      <c r="G47" s="29">
        <f t="shared" si="74"/>
        <v>2029</v>
      </c>
      <c r="H47" s="29">
        <f t="shared" si="74"/>
        <v>2030</v>
      </c>
      <c r="I47" s="29">
        <f t="shared" si="74"/>
        <v>2031</v>
      </c>
      <c r="J47" s="29">
        <f t="shared" si="74"/>
        <v>2032</v>
      </c>
      <c r="K47" s="29">
        <f t="shared" si="74"/>
        <v>2033</v>
      </c>
      <c r="L47" s="29">
        <f t="shared" si="74"/>
        <v>2034</v>
      </c>
      <c r="M47" s="29">
        <f t="shared" si="74"/>
        <v>2035</v>
      </c>
      <c r="N47" s="29">
        <f t="shared" ref="N47:P47" si="75">N26</f>
        <v>2036</v>
      </c>
      <c r="O47" s="29">
        <f t="shared" si="75"/>
        <v>2037</v>
      </c>
      <c r="P47" s="29">
        <f t="shared" si="75"/>
        <v>2038</v>
      </c>
      <c r="Q47" s="29"/>
      <c r="R47" s="29"/>
      <c r="S47" s="29"/>
      <c r="T47" s="29"/>
      <c r="U47" s="29"/>
      <c r="V47" s="29"/>
      <c r="W47" s="29"/>
      <c r="X47" s="76" t="s">
        <v>9</v>
      </c>
      <c r="Y47" s="78"/>
      <c r="Z47" s="78"/>
    </row>
    <row r="48" spans="2:26" ht="13.5" customHeight="1" x14ac:dyDescent="0.15">
      <c r="B48" s="79" t="s">
        <v>30</v>
      </c>
      <c r="C48" s="80">
        <v>0.05</v>
      </c>
      <c r="D48" s="81">
        <f>D46*$C$48</f>
        <v>0</v>
      </c>
      <c r="E48" s="81">
        <f t="shared" ref="E48:M48" si="76">E46*$C$48</f>
        <v>13962.006393665428</v>
      </c>
      <c r="F48" s="81">
        <f t="shared" si="76"/>
        <v>13962.006393665428</v>
      </c>
      <c r="G48" s="81">
        <f t="shared" si="76"/>
        <v>13962.006393665428</v>
      </c>
      <c r="H48" s="81">
        <f t="shared" si="76"/>
        <v>13962.006393665428</v>
      </c>
      <c r="I48" s="81">
        <f t="shared" si="76"/>
        <v>13962.006393665428</v>
      </c>
      <c r="J48" s="81">
        <f t="shared" si="76"/>
        <v>13962.006393665428</v>
      </c>
      <c r="K48" s="81">
        <f t="shared" si="76"/>
        <v>13962.006393665428</v>
      </c>
      <c r="L48" s="81">
        <f t="shared" si="76"/>
        <v>13962.006393665428</v>
      </c>
      <c r="M48" s="81">
        <f t="shared" si="76"/>
        <v>13962.006393665428</v>
      </c>
      <c r="N48" s="81">
        <f t="shared" ref="N48:P48" si="77">N46*$C$48</f>
        <v>13962.006393665428</v>
      </c>
      <c r="O48" s="81">
        <f t="shared" si="77"/>
        <v>13962.006393665428</v>
      </c>
      <c r="P48" s="81">
        <f t="shared" si="77"/>
        <v>13962.006393665428</v>
      </c>
      <c r="Q48" s="81">
        <f t="shared" ref="Q48:W48" si="78">Q46*$C$48</f>
        <v>13962.006393665428</v>
      </c>
      <c r="R48" s="81">
        <f t="shared" si="78"/>
        <v>13962.006393665428</v>
      </c>
      <c r="S48" s="81">
        <f t="shared" si="78"/>
        <v>4551.3780854799825</v>
      </c>
      <c r="T48" s="81">
        <f t="shared" si="78"/>
        <v>4551.3780854799825</v>
      </c>
      <c r="U48" s="81">
        <f t="shared" si="78"/>
        <v>4551.3780854799825</v>
      </c>
      <c r="V48" s="81">
        <f t="shared" si="78"/>
        <v>4551.3780854799825</v>
      </c>
      <c r="W48" s="81">
        <f t="shared" si="78"/>
        <v>4551.3780854799825</v>
      </c>
      <c r="X48" s="82">
        <f>SUM(D48:W48)</f>
        <v>218224.9799387159</v>
      </c>
      <c r="Y48" s="75"/>
      <c r="Z48" s="41"/>
    </row>
    <row r="49" spans="2:26" x14ac:dyDescent="0.15">
      <c r="B49" s="36" t="s">
        <v>57</v>
      </c>
      <c r="C49" s="177">
        <v>0.1</v>
      </c>
      <c r="D49" s="81">
        <f>D46*$C$49</f>
        <v>0</v>
      </c>
      <c r="E49" s="81">
        <f t="shared" ref="E49:M49" si="79">E46*$C$49</f>
        <v>27924.012787330856</v>
      </c>
      <c r="F49" s="81">
        <f t="shared" si="79"/>
        <v>27924.012787330856</v>
      </c>
      <c r="G49" s="81">
        <f t="shared" si="79"/>
        <v>27924.012787330856</v>
      </c>
      <c r="H49" s="81">
        <f t="shared" si="79"/>
        <v>27924.012787330856</v>
      </c>
      <c r="I49" s="81">
        <f t="shared" si="79"/>
        <v>27924.012787330856</v>
      </c>
      <c r="J49" s="81">
        <f t="shared" si="79"/>
        <v>27924.012787330856</v>
      </c>
      <c r="K49" s="81">
        <f t="shared" si="79"/>
        <v>27924.012787330856</v>
      </c>
      <c r="L49" s="81">
        <f t="shared" si="79"/>
        <v>27924.012787330856</v>
      </c>
      <c r="M49" s="81">
        <f t="shared" si="79"/>
        <v>27924.012787330856</v>
      </c>
      <c r="N49" s="81">
        <f t="shared" ref="N49:P49" si="80">N46*$C$49</f>
        <v>27924.012787330856</v>
      </c>
      <c r="O49" s="81">
        <f t="shared" si="80"/>
        <v>27924.012787330856</v>
      </c>
      <c r="P49" s="81">
        <f t="shared" si="80"/>
        <v>27924.012787330856</v>
      </c>
      <c r="Q49" s="81">
        <f t="shared" ref="Q49:W49" si="81">Q46*$C$49</f>
        <v>27924.012787330856</v>
      </c>
      <c r="R49" s="81">
        <f t="shared" si="81"/>
        <v>27924.012787330856</v>
      </c>
      <c r="S49" s="81">
        <f t="shared" si="81"/>
        <v>9102.7561709599649</v>
      </c>
      <c r="T49" s="81">
        <f t="shared" si="81"/>
        <v>9102.7561709599649</v>
      </c>
      <c r="U49" s="81">
        <f t="shared" si="81"/>
        <v>9102.7561709599649</v>
      </c>
      <c r="V49" s="81">
        <f t="shared" si="81"/>
        <v>9102.7561709599649</v>
      </c>
      <c r="W49" s="81">
        <f t="shared" si="81"/>
        <v>9102.7561709599649</v>
      </c>
      <c r="X49" s="82">
        <f t="shared" ref="X49:X50" si="82">SUM(D49:W49)</f>
        <v>436449.9598774318</v>
      </c>
      <c r="Y49" s="75"/>
      <c r="Z49" s="41"/>
    </row>
    <row r="50" spans="2:26" x14ac:dyDescent="0.15">
      <c r="B50" s="148" t="s">
        <v>83</v>
      </c>
      <c r="C50" s="149">
        <v>0.85</v>
      </c>
      <c r="D50" s="150">
        <f>$C$50*D46</f>
        <v>0</v>
      </c>
      <c r="E50" s="150">
        <f t="shared" ref="E50:M50" si="83">$C$50*E46</f>
        <v>237354.10869231226</v>
      </c>
      <c r="F50" s="150">
        <f t="shared" si="83"/>
        <v>237354.10869231226</v>
      </c>
      <c r="G50" s="150">
        <f t="shared" si="83"/>
        <v>237354.10869231226</v>
      </c>
      <c r="H50" s="150">
        <f t="shared" si="83"/>
        <v>237354.10869231226</v>
      </c>
      <c r="I50" s="150">
        <f t="shared" si="83"/>
        <v>237354.10869231226</v>
      </c>
      <c r="J50" s="150">
        <f t="shared" si="83"/>
        <v>237354.10869231226</v>
      </c>
      <c r="K50" s="150">
        <f t="shared" si="83"/>
        <v>237354.10869231226</v>
      </c>
      <c r="L50" s="150">
        <f t="shared" si="83"/>
        <v>237354.10869231226</v>
      </c>
      <c r="M50" s="150">
        <f t="shared" si="83"/>
        <v>237354.10869231226</v>
      </c>
      <c r="N50" s="150">
        <f t="shared" ref="N50:P50" si="84">$C$50*N46</f>
        <v>237354.10869231226</v>
      </c>
      <c r="O50" s="150">
        <f t="shared" si="84"/>
        <v>237354.10869231226</v>
      </c>
      <c r="P50" s="150">
        <f t="shared" si="84"/>
        <v>237354.10869231226</v>
      </c>
      <c r="Q50" s="150">
        <f t="shared" ref="Q50:W50" si="85">$C$50*Q46</f>
        <v>237354.10869231226</v>
      </c>
      <c r="R50" s="150">
        <f t="shared" si="85"/>
        <v>237354.10869231226</v>
      </c>
      <c r="S50" s="150">
        <f t="shared" si="85"/>
        <v>77373.427453159689</v>
      </c>
      <c r="T50" s="150">
        <f t="shared" si="85"/>
        <v>77373.427453159689</v>
      </c>
      <c r="U50" s="150">
        <f t="shared" si="85"/>
        <v>77373.427453159689</v>
      </c>
      <c r="V50" s="150">
        <f t="shared" si="85"/>
        <v>77373.427453159689</v>
      </c>
      <c r="W50" s="150">
        <f t="shared" si="85"/>
        <v>77373.427453159689</v>
      </c>
      <c r="X50" s="176">
        <f t="shared" si="82"/>
        <v>3709824.6589581696</v>
      </c>
      <c r="Y50" s="75"/>
      <c r="Z50" s="41"/>
    </row>
    <row r="51" spans="2:26" x14ac:dyDescent="0.15">
      <c r="B51" s="71" t="s">
        <v>32</v>
      </c>
      <c r="C51" s="72"/>
      <c r="D51" s="84">
        <f t="shared" ref="D51:M51" si="86">SUM(D48:D50)</f>
        <v>0</v>
      </c>
      <c r="E51" s="84">
        <f>SUM(E48:E50)</f>
        <v>279240.12787330855</v>
      </c>
      <c r="F51" s="84">
        <f t="shared" si="86"/>
        <v>279240.12787330855</v>
      </c>
      <c r="G51" s="84">
        <f t="shared" si="86"/>
        <v>279240.12787330855</v>
      </c>
      <c r="H51" s="84">
        <f t="shared" si="86"/>
        <v>279240.12787330855</v>
      </c>
      <c r="I51" s="84">
        <f t="shared" si="86"/>
        <v>279240.12787330855</v>
      </c>
      <c r="J51" s="84">
        <f t="shared" si="86"/>
        <v>279240.12787330855</v>
      </c>
      <c r="K51" s="84">
        <f t="shared" si="86"/>
        <v>279240.12787330855</v>
      </c>
      <c r="L51" s="84">
        <f t="shared" si="86"/>
        <v>279240.12787330855</v>
      </c>
      <c r="M51" s="84">
        <f t="shared" si="86"/>
        <v>279240.12787330855</v>
      </c>
      <c r="N51" s="84">
        <f t="shared" ref="N51:W51" si="87">SUM(N48:N50)</f>
        <v>279240.12787330855</v>
      </c>
      <c r="O51" s="84">
        <f t="shared" si="87"/>
        <v>279240.12787330855</v>
      </c>
      <c r="P51" s="84">
        <f t="shared" si="87"/>
        <v>279240.12787330855</v>
      </c>
      <c r="Q51" s="84">
        <f t="shared" si="87"/>
        <v>279240.12787330855</v>
      </c>
      <c r="R51" s="84">
        <f t="shared" si="87"/>
        <v>279240.12787330855</v>
      </c>
      <c r="S51" s="84">
        <f t="shared" si="87"/>
        <v>91027.561709599642</v>
      </c>
      <c r="T51" s="84">
        <f t="shared" si="87"/>
        <v>91027.561709599642</v>
      </c>
      <c r="U51" s="84">
        <f t="shared" si="87"/>
        <v>91027.561709599642</v>
      </c>
      <c r="V51" s="84">
        <f t="shared" si="87"/>
        <v>91027.561709599642</v>
      </c>
      <c r="W51" s="84">
        <f t="shared" si="87"/>
        <v>91027.561709599642</v>
      </c>
      <c r="X51" s="85">
        <f>SUM(D51:W51)</f>
        <v>4364499.5987743177</v>
      </c>
      <c r="Y51" s="41"/>
      <c r="Z51" s="41"/>
    </row>
    <row r="52" spans="2:26" x14ac:dyDescent="0.15">
      <c r="B52" s="87" t="s">
        <v>33</v>
      </c>
      <c r="C52" s="56"/>
      <c r="D52" s="29">
        <f t="shared" ref="D52:M52" si="88">D47</f>
        <v>2026</v>
      </c>
      <c r="E52" s="29">
        <f t="shared" si="88"/>
        <v>2027</v>
      </c>
      <c r="F52" s="29">
        <f t="shared" si="88"/>
        <v>2028</v>
      </c>
      <c r="G52" s="29">
        <f t="shared" si="88"/>
        <v>2029</v>
      </c>
      <c r="H52" s="29">
        <f t="shared" si="88"/>
        <v>2030</v>
      </c>
      <c r="I52" s="29">
        <f t="shared" si="88"/>
        <v>2031</v>
      </c>
      <c r="J52" s="29">
        <f t="shared" si="88"/>
        <v>2032</v>
      </c>
      <c r="K52" s="29">
        <f t="shared" si="88"/>
        <v>2033</v>
      </c>
      <c r="L52" s="29">
        <f t="shared" si="88"/>
        <v>2034</v>
      </c>
      <c r="M52" s="29">
        <f t="shared" si="88"/>
        <v>2035</v>
      </c>
      <c r="N52" s="29">
        <f t="shared" ref="N52:P52" si="89">N47</f>
        <v>2036</v>
      </c>
      <c r="O52" s="29">
        <f t="shared" si="89"/>
        <v>2037</v>
      </c>
      <c r="P52" s="29">
        <f t="shared" si="89"/>
        <v>2038</v>
      </c>
      <c r="Q52" s="29"/>
      <c r="R52" s="29"/>
      <c r="S52" s="29"/>
      <c r="T52" s="29"/>
      <c r="U52" s="29"/>
      <c r="V52" s="29"/>
      <c r="W52" s="29"/>
      <c r="X52" s="76" t="s">
        <v>9</v>
      </c>
      <c r="Y52" s="78"/>
      <c r="Z52" s="78"/>
    </row>
    <row r="53" spans="2:26" x14ac:dyDescent="0.15">
      <c r="B53" s="36" t="s">
        <v>17</v>
      </c>
      <c r="D53" s="18">
        <f>D17-D38</f>
        <v>0</v>
      </c>
      <c r="E53" s="18">
        <f t="shared" ref="E53:M53" si="90">E17-E38</f>
        <v>58015.556759700274</v>
      </c>
      <c r="F53" s="18">
        <f t="shared" si="90"/>
        <v>58015.556759700274</v>
      </c>
      <c r="G53" s="18">
        <f t="shared" si="90"/>
        <v>58015.556759700274</v>
      </c>
      <c r="H53" s="18">
        <f t="shared" si="90"/>
        <v>58015.556759700274</v>
      </c>
      <c r="I53" s="18">
        <f t="shared" si="90"/>
        <v>58015.556759700274</v>
      </c>
      <c r="J53" s="18">
        <f t="shared" si="90"/>
        <v>58015.556759700274</v>
      </c>
      <c r="K53" s="18">
        <f t="shared" si="90"/>
        <v>58015.556759700274</v>
      </c>
      <c r="L53" s="18">
        <f t="shared" si="90"/>
        <v>58015.556759700274</v>
      </c>
      <c r="M53" s="18">
        <f t="shared" si="90"/>
        <v>58015.556759700274</v>
      </c>
      <c r="N53" s="18">
        <f t="shared" ref="N53:P53" si="91">N17-N38</f>
        <v>58015.556759700274</v>
      </c>
      <c r="O53" s="18">
        <f t="shared" si="91"/>
        <v>58015.556759700274</v>
      </c>
      <c r="P53" s="18">
        <f t="shared" si="91"/>
        <v>58015.556759700274</v>
      </c>
      <c r="Q53" s="18">
        <f t="shared" ref="Q53:W53" si="92">Q17-Q38</f>
        <v>58015.556759700274</v>
      </c>
      <c r="R53" s="18">
        <f t="shared" si="92"/>
        <v>58015.556759700274</v>
      </c>
      <c r="S53" s="18">
        <f t="shared" si="92"/>
        <v>58015.556759700274</v>
      </c>
      <c r="T53" s="18">
        <f t="shared" si="92"/>
        <v>58015.556759700274</v>
      </c>
      <c r="U53" s="18">
        <f t="shared" si="92"/>
        <v>58015.556759700274</v>
      </c>
      <c r="V53" s="18">
        <f t="shared" si="92"/>
        <v>58015.556759700274</v>
      </c>
      <c r="W53" s="18">
        <f t="shared" si="92"/>
        <v>58015.556759700274</v>
      </c>
      <c r="X53" s="88">
        <f>SUM(D53:W53)</f>
        <v>1102295.5784343055</v>
      </c>
      <c r="Y53" s="75"/>
      <c r="Z53" s="41"/>
    </row>
    <row r="54" spans="2:26" x14ac:dyDescent="0.15">
      <c r="B54" s="36" t="s">
        <v>18</v>
      </c>
      <c r="D54" s="18">
        <f t="shared" ref="D54:M54" si="93">D18-D39</f>
        <v>0</v>
      </c>
      <c r="E54" s="18">
        <f t="shared" si="93"/>
        <v>15348.872453217482</v>
      </c>
      <c r="F54" s="18">
        <f t="shared" si="93"/>
        <v>15348.872453217482</v>
      </c>
      <c r="G54" s="18">
        <f t="shared" si="93"/>
        <v>15348.872453217482</v>
      </c>
      <c r="H54" s="18">
        <f t="shared" si="93"/>
        <v>15348.872453217482</v>
      </c>
      <c r="I54" s="18">
        <f t="shared" si="93"/>
        <v>15348.872453217482</v>
      </c>
      <c r="J54" s="18">
        <f t="shared" si="93"/>
        <v>15348.872453217482</v>
      </c>
      <c r="K54" s="18">
        <f t="shared" si="93"/>
        <v>15348.872453217482</v>
      </c>
      <c r="L54" s="18">
        <f t="shared" si="93"/>
        <v>15348.872453217482</v>
      </c>
      <c r="M54" s="18">
        <f t="shared" si="93"/>
        <v>15348.872453217482</v>
      </c>
      <c r="N54" s="18">
        <f t="shared" ref="N54:P54" si="94">N18-N39</f>
        <v>15348.872453217482</v>
      </c>
      <c r="O54" s="18">
        <f t="shared" si="94"/>
        <v>15348.872453217482</v>
      </c>
      <c r="P54" s="18">
        <f t="shared" si="94"/>
        <v>15348.872453217482</v>
      </c>
      <c r="Q54" s="18">
        <f t="shared" ref="Q54:W54" si="95">Q18-Q39</f>
        <v>15348.872453217482</v>
      </c>
      <c r="R54" s="18">
        <f t="shared" si="95"/>
        <v>15348.872453217482</v>
      </c>
      <c r="S54" s="18">
        <f t="shared" si="95"/>
        <v>15348.872453217482</v>
      </c>
      <c r="T54" s="18">
        <f t="shared" si="95"/>
        <v>15348.872453217482</v>
      </c>
      <c r="U54" s="18">
        <f t="shared" si="95"/>
        <v>15348.872453217482</v>
      </c>
      <c r="V54" s="18">
        <f t="shared" si="95"/>
        <v>15348.872453217482</v>
      </c>
      <c r="W54" s="18">
        <f t="shared" si="95"/>
        <v>15348.872453217482</v>
      </c>
      <c r="X54" s="88">
        <f t="shared" ref="X54:X56" si="96">SUM(D54:W54)</f>
        <v>291628.57661113213</v>
      </c>
      <c r="Y54" s="75"/>
      <c r="Z54" s="41"/>
    </row>
    <row r="55" spans="2:26" x14ac:dyDescent="0.15">
      <c r="B55" s="36" t="s">
        <v>19</v>
      </c>
      <c r="D55" s="18">
        <f t="shared" ref="D55:M55" si="97">D19-D40</f>
        <v>0</v>
      </c>
      <c r="E55" s="18">
        <f t="shared" si="97"/>
        <v>62737.522054569621</v>
      </c>
      <c r="F55" s="18">
        <f t="shared" si="97"/>
        <v>62737.522054569621</v>
      </c>
      <c r="G55" s="18">
        <f t="shared" si="97"/>
        <v>62737.522054569621</v>
      </c>
      <c r="H55" s="18">
        <f t="shared" si="97"/>
        <v>62737.522054569621</v>
      </c>
      <c r="I55" s="18">
        <f t="shared" si="97"/>
        <v>62737.522054569621</v>
      </c>
      <c r="J55" s="18">
        <f t="shared" si="97"/>
        <v>62737.522054569621</v>
      </c>
      <c r="K55" s="18">
        <f t="shared" si="97"/>
        <v>62737.522054569621</v>
      </c>
      <c r="L55" s="18">
        <f t="shared" si="97"/>
        <v>62737.522054569621</v>
      </c>
      <c r="M55" s="18">
        <f t="shared" si="97"/>
        <v>62737.522054569621</v>
      </c>
      <c r="N55" s="18">
        <f t="shared" ref="N55:P55" si="98">N19-N40</f>
        <v>62737.522054569621</v>
      </c>
      <c r="O55" s="18">
        <f t="shared" si="98"/>
        <v>62737.522054569621</v>
      </c>
      <c r="P55" s="18">
        <f t="shared" si="98"/>
        <v>62737.522054569621</v>
      </c>
      <c r="Q55" s="18">
        <f t="shared" ref="Q55:W55" si="99">Q19-Q40</f>
        <v>62737.522054569621</v>
      </c>
      <c r="R55" s="18">
        <f t="shared" si="99"/>
        <v>62737.522054569621</v>
      </c>
      <c r="S55" s="18">
        <f t="shared" si="99"/>
        <v>250950.08821827854</v>
      </c>
      <c r="T55" s="18">
        <f t="shared" si="99"/>
        <v>250950.08821827854</v>
      </c>
      <c r="U55" s="18">
        <f t="shared" si="99"/>
        <v>250950.08821827854</v>
      </c>
      <c r="V55" s="18">
        <f t="shared" si="99"/>
        <v>250950.08821827854</v>
      </c>
      <c r="W55" s="18">
        <f t="shared" si="99"/>
        <v>250950.08821827854</v>
      </c>
      <c r="X55" s="88">
        <f t="shared" si="96"/>
        <v>2133075.749855367</v>
      </c>
      <c r="Y55" s="75"/>
      <c r="Z55" s="41"/>
    </row>
    <row r="56" spans="2:26" x14ac:dyDescent="0.15">
      <c r="B56" s="36" t="s">
        <v>82</v>
      </c>
      <c r="D56" s="18">
        <f t="shared" ref="D56:M56" si="100">D20-D41</f>
        <v>0</v>
      </c>
      <c r="E56" s="18">
        <f t="shared" si="100"/>
        <v>5777.6973250064766</v>
      </c>
      <c r="F56" s="18">
        <f t="shared" si="100"/>
        <v>5777.6973250064766</v>
      </c>
      <c r="G56" s="18">
        <f t="shared" si="100"/>
        <v>5777.6973250064766</v>
      </c>
      <c r="H56" s="18">
        <f t="shared" si="100"/>
        <v>5777.6973250064766</v>
      </c>
      <c r="I56" s="18">
        <f t="shared" si="100"/>
        <v>5777.6973250064766</v>
      </c>
      <c r="J56" s="18">
        <f t="shared" si="100"/>
        <v>5777.6973250064766</v>
      </c>
      <c r="K56" s="18">
        <f t="shared" si="100"/>
        <v>5777.6973250064766</v>
      </c>
      <c r="L56" s="18">
        <f t="shared" si="100"/>
        <v>5777.6973250064766</v>
      </c>
      <c r="M56" s="18">
        <f t="shared" si="100"/>
        <v>5777.6973250064766</v>
      </c>
      <c r="N56" s="18">
        <f t="shared" ref="N56:P56" si="101">N20-N41</f>
        <v>5777.6973250064766</v>
      </c>
      <c r="O56" s="18">
        <f t="shared" si="101"/>
        <v>5777.6973250064766</v>
      </c>
      <c r="P56" s="18">
        <f t="shared" si="101"/>
        <v>5777.6973250064766</v>
      </c>
      <c r="Q56" s="18">
        <f t="shared" ref="Q56:W56" si="102">Q20-Q41</f>
        <v>5777.6973250064766</v>
      </c>
      <c r="R56" s="18">
        <f t="shared" si="102"/>
        <v>5777.6973250064766</v>
      </c>
      <c r="S56" s="18">
        <f t="shared" si="102"/>
        <v>5777.6973250064766</v>
      </c>
      <c r="T56" s="18">
        <f t="shared" si="102"/>
        <v>5777.6973250064766</v>
      </c>
      <c r="U56" s="18">
        <f t="shared" si="102"/>
        <v>5777.6973250064766</v>
      </c>
      <c r="V56" s="18">
        <f t="shared" si="102"/>
        <v>5777.6973250064766</v>
      </c>
      <c r="W56" s="18">
        <f t="shared" si="102"/>
        <v>5777.6973250064766</v>
      </c>
      <c r="X56" s="88">
        <f t="shared" si="96"/>
        <v>109776.24917512306</v>
      </c>
      <c r="Y56" s="75"/>
      <c r="Z56" s="41"/>
    </row>
    <row r="57" spans="2:26" x14ac:dyDescent="0.15">
      <c r="B57" s="36" t="s">
        <v>21</v>
      </c>
      <c r="D57" s="18">
        <f t="shared" ref="D57:M57" si="103">D21-D42</f>
        <v>0</v>
      </c>
      <c r="E57" s="18">
        <f t="shared" si="103"/>
        <v>357.87526445325733</v>
      </c>
      <c r="F57" s="18">
        <f t="shared" si="103"/>
        <v>357.87526445325733</v>
      </c>
      <c r="G57" s="18">
        <f t="shared" si="103"/>
        <v>357.87526445325733</v>
      </c>
      <c r="H57" s="18">
        <f t="shared" si="103"/>
        <v>357.87526445325733</v>
      </c>
      <c r="I57" s="18">
        <f t="shared" si="103"/>
        <v>357.87526445325733</v>
      </c>
      <c r="J57" s="18">
        <f t="shared" si="103"/>
        <v>357.87526445325733</v>
      </c>
      <c r="K57" s="18">
        <f t="shared" si="103"/>
        <v>357.87526445325733</v>
      </c>
      <c r="L57" s="18">
        <f t="shared" si="103"/>
        <v>357.87526445325733</v>
      </c>
      <c r="M57" s="18">
        <f t="shared" si="103"/>
        <v>357.87526445325733</v>
      </c>
      <c r="N57" s="18">
        <f t="shared" ref="N57:P57" si="104">N21-N42</f>
        <v>357.87526445325733</v>
      </c>
      <c r="O57" s="18">
        <f t="shared" si="104"/>
        <v>357.87526445325733</v>
      </c>
      <c r="P57" s="18">
        <f t="shared" si="104"/>
        <v>357.87526445325733</v>
      </c>
      <c r="Q57" s="18">
        <f t="shared" ref="Q57:W57" si="105">Q21-Q42</f>
        <v>357.87526445325733</v>
      </c>
      <c r="R57" s="18">
        <f t="shared" si="105"/>
        <v>357.87526445325733</v>
      </c>
      <c r="S57" s="18">
        <f t="shared" si="105"/>
        <v>357.87526445325733</v>
      </c>
      <c r="T57" s="18">
        <f t="shared" si="105"/>
        <v>357.87526445325733</v>
      </c>
      <c r="U57" s="18">
        <f t="shared" si="105"/>
        <v>357.87526445325733</v>
      </c>
      <c r="V57" s="18">
        <f t="shared" si="105"/>
        <v>357.87526445325733</v>
      </c>
      <c r="W57" s="18">
        <f t="shared" si="105"/>
        <v>357.87526445325733</v>
      </c>
      <c r="X57" s="88">
        <f>SUM(D57:W57)</f>
        <v>6799.6300246118863</v>
      </c>
      <c r="Y57" s="75"/>
      <c r="Z57" s="41"/>
    </row>
    <row r="58" spans="2:26" x14ac:dyDescent="0.15">
      <c r="B58" s="36" t="s">
        <v>22</v>
      </c>
      <c r="D58" s="18">
        <f t="shared" ref="D58:M58" si="106">D22-D43</f>
        <v>0</v>
      </c>
      <c r="E58" s="18">
        <f>E22-E43</f>
        <v>15905.56730903366</v>
      </c>
      <c r="F58" s="18">
        <f>F22-F43</f>
        <v>15905.56730903366</v>
      </c>
      <c r="G58" s="18">
        <f t="shared" si="106"/>
        <v>15905.56730903366</v>
      </c>
      <c r="H58" s="18">
        <f t="shared" si="106"/>
        <v>15905.56730903366</v>
      </c>
      <c r="I58" s="18">
        <f t="shared" si="106"/>
        <v>15905.56730903366</v>
      </c>
      <c r="J58" s="18">
        <f t="shared" si="106"/>
        <v>15905.56730903366</v>
      </c>
      <c r="K58" s="18">
        <f t="shared" si="106"/>
        <v>15905.56730903366</v>
      </c>
      <c r="L58" s="18">
        <f t="shared" si="106"/>
        <v>15905.56730903366</v>
      </c>
      <c r="M58" s="18">
        <f t="shared" si="106"/>
        <v>15905.56730903366</v>
      </c>
      <c r="N58" s="18">
        <f t="shared" ref="N58:P58" si="107">N22-N43</f>
        <v>15905.56730903366</v>
      </c>
      <c r="O58" s="18">
        <f t="shared" si="107"/>
        <v>15905.56730903366</v>
      </c>
      <c r="P58" s="18">
        <f t="shared" si="107"/>
        <v>15905.56730903366</v>
      </c>
      <c r="Q58" s="18">
        <f t="shared" ref="Q58:W58" si="108">Q22-Q43</f>
        <v>15905.56730903366</v>
      </c>
      <c r="R58" s="18">
        <f t="shared" si="108"/>
        <v>15905.56730903366</v>
      </c>
      <c r="S58" s="18">
        <f t="shared" si="108"/>
        <v>15905.56730903366</v>
      </c>
      <c r="T58" s="18">
        <f t="shared" si="108"/>
        <v>15905.56730903366</v>
      </c>
      <c r="U58" s="18">
        <f t="shared" si="108"/>
        <v>15905.56730903366</v>
      </c>
      <c r="V58" s="18">
        <f t="shared" si="108"/>
        <v>15905.56730903366</v>
      </c>
      <c r="W58" s="18">
        <f t="shared" si="108"/>
        <v>15905.56730903366</v>
      </c>
      <c r="X58" s="88">
        <f>SUM(D58:W58)</f>
        <v>302205.77887163946</v>
      </c>
      <c r="Y58" s="75"/>
      <c r="Z58" s="41"/>
    </row>
    <row r="59" spans="2:26" x14ac:dyDescent="0.15">
      <c r="B59" s="36" t="s">
        <v>85</v>
      </c>
      <c r="D59" s="18"/>
      <c r="E59" s="18">
        <f>E23-E44</f>
        <v>2616.4658223360366</v>
      </c>
      <c r="F59" s="18">
        <f t="shared" ref="F59:W59" si="109">F23-F44</f>
        <v>2616.4658223360366</v>
      </c>
      <c r="G59" s="18">
        <f t="shared" si="109"/>
        <v>2616.4658223360366</v>
      </c>
      <c r="H59" s="18">
        <f t="shared" si="109"/>
        <v>2616.4658223360366</v>
      </c>
      <c r="I59" s="18">
        <f t="shared" si="109"/>
        <v>2616.4658223360366</v>
      </c>
      <c r="J59" s="18">
        <f t="shared" si="109"/>
        <v>2616.4658223360366</v>
      </c>
      <c r="K59" s="18">
        <f t="shared" si="109"/>
        <v>2616.4658223360366</v>
      </c>
      <c r="L59" s="18">
        <f t="shared" si="109"/>
        <v>2616.4658223360366</v>
      </c>
      <c r="M59" s="18">
        <f t="shared" si="109"/>
        <v>2616.4658223360366</v>
      </c>
      <c r="N59" s="18">
        <f t="shared" si="109"/>
        <v>2616.4658223360366</v>
      </c>
      <c r="O59" s="18">
        <f t="shared" si="109"/>
        <v>2616.4658223360366</v>
      </c>
      <c r="P59" s="18">
        <f t="shared" si="109"/>
        <v>2616.4658223360366</v>
      </c>
      <c r="Q59" s="18">
        <f t="shared" si="109"/>
        <v>2616.4658223360366</v>
      </c>
      <c r="R59" s="18">
        <f t="shared" si="109"/>
        <v>2616.4658223360366</v>
      </c>
      <c r="S59" s="18">
        <f t="shared" si="109"/>
        <v>2616.4658223360366</v>
      </c>
      <c r="T59" s="18">
        <f t="shared" si="109"/>
        <v>2616.4658223360366</v>
      </c>
      <c r="U59" s="18">
        <f t="shared" si="109"/>
        <v>2616.4658223360366</v>
      </c>
      <c r="V59" s="18">
        <f t="shared" si="109"/>
        <v>2616.4658223360366</v>
      </c>
      <c r="W59" s="18">
        <f t="shared" si="109"/>
        <v>2616.4658223360366</v>
      </c>
      <c r="X59" s="88">
        <f>SUM(E59:W59)</f>
        <v>49712.850624384715</v>
      </c>
      <c r="Y59" s="75"/>
      <c r="Z59" s="41"/>
    </row>
    <row r="60" spans="2:26" x14ac:dyDescent="0.15">
      <c r="B60" s="36" t="s">
        <v>86</v>
      </c>
      <c r="D60" s="18"/>
      <c r="E60" s="18">
        <f>E24-E45</f>
        <v>18398.764984724687</v>
      </c>
      <c r="F60" s="18">
        <f t="shared" ref="F60:W60" si="110">F24-F45</f>
        <v>18398.764984724687</v>
      </c>
      <c r="G60" s="18">
        <f t="shared" si="110"/>
        <v>18398.764984724687</v>
      </c>
      <c r="H60" s="18">
        <f t="shared" si="110"/>
        <v>18398.764984724687</v>
      </c>
      <c r="I60" s="18">
        <f t="shared" si="110"/>
        <v>18398.764984724687</v>
      </c>
      <c r="J60" s="18">
        <f t="shared" si="110"/>
        <v>18398.764984724687</v>
      </c>
      <c r="K60" s="18">
        <f t="shared" si="110"/>
        <v>18398.764984724687</v>
      </c>
      <c r="L60" s="18">
        <f t="shared" si="110"/>
        <v>18398.764984724687</v>
      </c>
      <c r="M60" s="18">
        <f t="shared" si="110"/>
        <v>18398.764984724687</v>
      </c>
      <c r="N60" s="18">
        <f t="shared" si="110"/>
        <v>18398.764984724687</v>
      </c>
      <c r="O60" s="18">
        <f t="shared" si="110"/>
        <v>18398.764984724687</v>
      </c>
      <c r="P60" s="18">
        <f t="shared" si="110"/>
        <v>18398.764984724687</v>
      </c>
      <c r="Q60" s="18">
        <f t="shared" si="110"/>
        <v>18398.764984724687</v>
      </c>
      <c r="R60" s="18">
        <f t="shared" si="110"/>
        <v>18398.764984724687</v>
      </c>
      <c r="S60" s="18">
        <f t="shared" si="110"/>
        <v>18398.764984724687</v>
      </c>
      <c r="T60" s="18">
        <f t="shared" si="110"/>
        <v>18398.764984724687</v>
      </c>
      <c r="U60" s="18">
        <f t="shared" si="110"/>
        <v>18398.764984724687</v>
      </c>
      <c r="V60" s="18">
        <f t="shared" si="110"/>
        <v>18398.764984724687</v>
      </c>
      <c r="W60" s="18">
        <f t="shared" si="110"/>
        <v>18398.764984724687</v>
      </c>
      <c r="X60" s="88">
        <f>SUM(E60:W60)</f>
        <v>349576.53470976913</v>
      </c>
      <c r="Y60" s="75"/>
      <c r="Z60" s="41"/>
    </row>
    <row r="61" spans="2:26" x14ac:dyDescent="0.15">
      <c r="B61" s="71" t="s">
        <v>34</v>
      </c>
      <c r="C61" s="72"/>
      <c r="D61" s="89">
        <f t="shared" ref="D61" si="111">SUM(D53:D58)</f>
        <v>0</v>
      </c>
      <c r="E61" s="89">
        <f>SUM(E53:E60)</f>
        <v>179158.32197304149</v>
      </c>
      <c r="F61" s="89">
        <f t="shared" ref="F61:R61" si="112">SUM(F53:F60)</f>
        <v>179158.32197304149</v>
      </c>
      <c r="G61" s="89">
        <f t="shared" si="112"/>
        <v>179158.32197304149</v>
      </c>
      <c r="H61" s="89">
        <f t="shared" si="112"/>
        <v>179158.32197304149</v>
      </c>
      <c r="I61" s="89">
        <f t="shared" si="112"/>
        <v>179158.32197304149</v>
      </c>
      <c r="J61" s="89">
        <f t="shared" si="112"/>
        <v>179158.32197304149</v>
      </c>
      <c r="K61" s="89">
        <f t="shared" si="112"/>
        <v>179158.32197304149</v>
      </c>
      <c r="L61" s="89">
        <f t="shared" si="112"/>
        <v>179158.32197304149</v>
      </c>
      <c r="M61" s="89">
        <f t="shared" si="112"/>
        <v>179158.32197304149</v>
      </c>
      <c r="N61" s="89">
        <f t="shared" si="112"/>
        <v>179158.32197304149</v>
      </c>
      <c r="O61" s="89">
        <f t="shared" si="112"/>
        <v>179158.32197304149</v>
      </c>
      <c r="P61" s="89">
        <f t="shared" si="112"/>
        <v>179158.32197304149</v>
      </c>
      <c r="Q61" s="89">
        <f t="shared" si="112"/>
        <v>179158.32197304149</v>
      </c>
      <c r="R61" s="89">
        <f t="shared" si="112"/>
        <v>179158.32197304149</v>
      </c>
      <c r="S61" s="89">
        <f>SUM(S53:S60)</f>
        <v>367370.88813675038</v>
      </c>
      <c r="T61" s="89">
        <f t="shared" ref="T61:W61" si="113">SUM(T53:T60)</f>
        <v>367370.88813675038</v>
      </c>
      <c r="U61" s="89">
        <f t="shared" si="113"/>
        <v>367370.88813675038</v>
      </c>
      <c r="V61" s="89">
        <f t="shared" si="113"/>
        <v>367370.88813675038</v>
      </c>
      <c r="W61" s="89">
        <f t="shared" si="113"/>
        <v>367370.88813675038</v>
      </c>
      <c r="X61" s="53">
        <f>SUM(X53:X60)</f>
        <v>4345070.9483063333</v>
      </c>
      <c r="Y61" s="75"/>
      <c r="Z61" s="41"/>
    </row>
    <row r="62" spans="2:26" outlineLevel="1" x14ac:dyDescent="0.15">
      <c r="B62" s="37"/>
      <c r="C62" s="37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75"/>
    </row>
    <row r="63" spans="2:26" x14ac:dyDescent="0.15">
      <c r="D63" s="131" t="s">
        <v>63</v>
      </c>
      <c r="E63" s="132"/>
    </row>
    <row r="64" spans="2:26" x14ac:dyDescent="0.15">
      <c r="D64" s="12" t="s">
        <v>62</v>
      </c>
      <c r="E64" s="133">
        <v>5.0000000000000001E-3</v>
      </c>
      <c r="G64" s="7" t="s">
        <v>74</v>
      </c>
      <c r="H64" s="144">
        <v>0.03</v>
      </c>
    </row>
    <row r="65" spans="2:24" x14ac:dyDescent="0.15">
      <c r="D65" s="19" t="s">
        <v>61</v>
      </c>
      <c r="E65" s="134">
        <v>0</v>
      </c>
    </row>
    <row r="67" spans="2:24" x14ac:dyDescent="0.15">
      <c r="B67" s="178" t="s">
        <v>60</v>
      </c>
      <c r="C67" s="23" t="s">
        <v>8</v>
      </c>
      <c r="D67" s="24">
        <f t="shared" ref="D67:W67" si="114">D68+1</f>
        <v>2026</v>
      </c>
      <c r="E67" s="24">
        <f t="shared" si="114"/>
        <v>2027</v>
      </c>
      <c r="F67" s="24">
        <f t="shared" si="114"/>
        <v>2028</v>
      </c>
      <c r="G67" s="24">
        <f t="shared" si="114"/>
        <v>2029</v>
      </c>
      <c r="H67" s="24">
        <f t="shared" si="114"/>
        <v>2030</v>
      </c>
      <c r="I67" s="24">
        <f t="shared" si="114"/>
        <v>2031</v>
      </c>
      <c r="J67" s="24">
        <f t="shared" si="114"/>
        <v>2032</v>
      </c>
      <c r="K67" s="24">
        <f t="shared" si="114"/>
        <v>2033</v>
      </c>
      <c r="L67" s="24">
        <f t="shared" si="114"/>
        <v>2034</v>
      </c>
      <c r="M67" s="24">
        <f t="shared" si="114"/>
        <v>2035</v>
      </c>
      <c r="N67" s="24">
        <f t="shared" si="114"/>
        <v>2036</v>
      </c>
      <c r="O67" s="24">
        <f t="shared" si="114"/>
        <v>2037</v>
      </c>
      <c r="P67" s="24">
        <f t="shared" si="114"/>
        <v>2038</v>
      </c>
      <c r="Q67" s="24">
        <f t="shared" si="114"/>
        <v>2039</v>
      </c>
      <c r="R67" s="24">
        <f t="shared" si="114"/>
        <v>2040</v>
      </c>
      <c r="S67" s="24">
        <f t="shared" si="114"/>
        <v>2041</v>
      </c>
      <c r="T67" s="24">
        <f t="shared" si="114"/>
        <v>2042</v>
      </c>
      <c r="U67" s="24">
        <f t="shared" si="114"/>
        <v>2043</v>
      </c>
      <c r="V67" s="24">
        <f t="shared" si="114"/>
        <v>2044</v>
      </c>
      <c r="W67" s="24">
        <f t="shared" si="114"/>
        <v>2045</v>
      </c>
      <c r="X67" s="25"/>
    </row>
    <row r="68" spans="2:24" x14ac:dyDescent="0.15">
      <c r="B68" s="186"/>
      <c r="C68" s="27" t="s">
        <v>0</v>
      </c>
      <c r="D68" s="28">
        <v>2025</v>
      </c>
      <c r="E68" s="28">
        <f t="shared" ref="E68" si="115">D68+1</f>
        <v>2026</v>
      </c>
      <c r="F68" s="28">
        <f t="shared" ref="F68" si="116">E68+1</f>
        <v>2027</v>
      </c>
      <c r="G68" s="28">
        <f t="shared" ref="G68" si="117">F68+1</f>
        <v>2028</v>
      </c>
      <c r="H68" s="28">
        <f t="shared" ref="H68" si="118">G68+1</f>
        <v>2029</v>
      </c>
      <c r="I68" s="28">
        <f t="shared" ref="I68" si="119">H68+1</f>
        <v>2030</v>
      </c>
      <c r="J68" s="28">
        <f t="shared" ref="J68" si="120">I68+1</f>
        <v>2031</v>
      </c>
      <c r="K68" s="28">
        <f t="shared" ref="K68" si="121">J68+1</f>
        <v>2032</v>
      </c>
      <c r="L68" s="28">
        <f t="shared" ref="L68" si="122">K68+1</f>
        <v>2033</v>
      </c>
      <c r="M68" s="28">
        <f t="shared" ref="M68" si="123">L68+1</f>
        <v>2034</v>
      </c>
      <c r="N68" s="28">
        <f t="shared" ref="N68" si="124">M68+1</f>
        <v>2035</v>
      </c>
      <c r="O68" s="28">
        <f t="shared" ref="O68" si="125">N68+1</f>
        <v>2036</v>
      </c>
      <c r="P68" s="28">
        <f t="shared" ref="P68:Q68" si="126">O68+1</f>
        <v>2037</v>
      </c>
      <c r="Q68" s="28">
        <f t="shared" si="126"/>
        <v>2038</v>
      </c>
      <c r="R68" s="28">
        <f t="shared" ref="R68" si="127">Q68+1</f>
        <v>2039</v>
      </c>
      <c r="S68" s="28">
        <f t="shared" ref="S68" si="128">R68+1</f>
        <v>2040</v>
      </c>
      <c r="T68" s="28">
        <f t="shared" ref="T68" si="129">S68+1</f>
        <v>2041</v>
      </c>
      <c r="U68" s="28">
        <f t="shared" ref="U68" si="130">T68+1</f>
        <v>2042</v>
      </c>
      <c r="V68" s="28">
        <f t="shared" ref="V68" si="131">U68+1</f>
        <v>2043</v>
      </c>
      <c r="W68" s="28">
        <f t="shared" ref="W68" si="132">V68+1</f>
        <v>2044</v>
      </c>
      <c r="X68" s="29" t="s">
        <v>9</v>
      </c>
    </row>
    <row r="69" spans="2:24" x14ac:dyDescent="0.15">
      <c r="B69" s="12" t="s">
        <v>64</v>
      </c>
      <c r="D69" s="81">
        <f>71300000*0.5</f>
        <v>35650000</v>
      </c>
      <c r="E69" s="81">
        <f>71300000*(1+$H$64)</f>
        <v>73439000</v>
      </c>
      <c r="F69" s="81">
        <f>E69*(1+$H$64)</f>
        <v>75642170</v>
      </c>
      <c r="G69" s="81">
        <f t="shared" ref="G69:P69" si="133">F69*(1+$H$64)</f>
        <v>77911435.100000009</v>
      </c>
      <c r="H69" s="81">
        <f t="shared" si="133"/>
        <v>80248778.153000012</v>
      </c>
      <c r="I69" s="81">
        <f t="shared" si="133"/>
        <v>82656241.49759002</v>
      </c>
      <c r="J69" s="81">
        <f t="shared" si="133"/>
        <v>85135928.742517725</v>
      </c>
      <c r="K69" s="81">
        <f t="shared" si="133"/>
        <v>87690006.604793265</v>
      </c>
      <c r="L69" s="81">
        <f t="shared" si="133"/>
        <v>90320706.802937061</v>
      </c>
      <c r="M69" s="81">
        <f t="shared" si="133"/>
        <v>93030328.007025182</v>
      </c>
      <c r="N69" s="81">
        <f t="shared" si="133"/>
        <v>95821237.847235933</v>
      </c>
      <c r="O69" s="81">
        <f t="shared" si="133"/>
        <v>98695874.982653007</v>
      </c>
      <c r="P69" s="81">
        <f t="shared" si="133"/>
        <v>101656751.2321326</v>
      </c>
      <c r="Q69" s="81">
        <f t="shared" ref="Q69" si="134">P69*(1+$H$64)</f>
        <v>104706453.76909658</v>
      </c>
      <c r="R69" s="81">
        <f t="shared" ref="R69" si="135">Q69*(1+$H$64)</f>
        <v>107847647.38216949</v>
      </c>
      <c r="S69" s="81">
        <f t="shared" ref="S69" si="136">R69*(1+$H$64)</f>
        <v>111083076.80363457</v>
      </c>
      <c r="T69" s="81">
        <f t="shared" ref="T69" si="137">S69*(1+$H$64)</f>
        <v>114415569.10774361</v>
      </c>
      <c r="U69" s="81">
        <f t="shared" ref="U69" si="138">T69*(1+$H$64)</f>
        <v>117848036.18097591</v>
      </c>
      <c r="V69" s="81">
        <f t="shared" ref="V69" si="139">U69*(1+$H$64)</f>
        <v>121383477.26640519</v>
      </c>
      <c r="W69" s="81">
        <f t="shared" ref="W69" si="140">V69*(1+$H$64)</f>
        <v>125024981.58439736</v>
      </c>
      <c r="X69" s="136">
        <f>SUM(D69:W69)</f>
        <v>1880207701.0643072</v>
      </c>
    </row>
    <row r="70" spans="2:24" x14ac:dyDescent="0.15">
      <c r="B70" s="124" t="s">
        <v>65</v>
      </c>
      <c r="C70" s="121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6"/>
    </row>
    <row r="71" spans="2:24" x14ac:dyDescent="0.15">
      <c r="B71" s="12" t="s">
        <v>66</v>
      </c>
      <c r="D71" s="18">
        <f>D69*$E$64</f>
        <v>178250</v>
      </c>
      <c r="E71" s="18">
        <f>E69*$E$64</f>
        <v>367195</v>
      </c>
      <c r="F71" s="18">
        <f t="shared" ref="F71:M71" si="141">F69*$E$64</f>
        <v>378210.85000000003</v>
      </c>
      <c r="G71" s="18">
        <f t="shared" si="141"/>
        <v>389557.17550000007</v>
      </c>
      <c r="H71" s="18">
        <f t="shared" si="141"/>
        <v>401243.89076500008</v>
      </c>
      <c r="I71" s="18">
        <f t="shared" si="141"/>
        <v>413281.2074879501</v>
      </c>
      <c r="J71" s="18">
        <f t="shared" si="141"/>
        <v>425679.64371258864</v>
      </c>
      <c r="K71" s="18">
        <f t="shared" si="141"/>
        <v>438450.03302396636</v>
      </c>
      <c r="L71" s="18">
        <f t="shared" si="141"/>
        <v>451603.53401468531</v>
      </c>
      <c r="M71" s="18">
        <f t="shared" si="141"/>
        <v>465151.64003512589</v>
      </c>
      <c r="N71" s="18">
        <f t="shared" ref="N71:P71" si="142">N69*$E$64</f>
        <v>479106.18923617969</v>
      </c>
      <c r="O71" s="18">
        <f t="shared" si="142"/>
        <v>493479.37491326506</v>
      </c>
      <c r="P71" s="18">
        <f t="shared" si="142"/>
        <v>508283.75616066303</v>
      </c>
      <c r="Q71" s="18">
        <f t="shared" ref="Q71:W71" si="143">Q69*$E$64</f>
        <v>523532.2688454829</v>
      </c>
      <c r="R71" s="18">
        <f t="shared" si="143"/>
        <v>539238.23691084748</v>
      </c>
      <c r="S71" s="18">
        <f t="shared" si="143"/>
        <v>555415.38401817286</v>
      </c>
      <c r="T71" s="18">
        <f t="shared" si="143"/>
        <v>572077.84553871804</v>
      </c>
      <c r="U71" s="18">
        <f t="shared" si="143"/>
        <v>589240.18090487958</v>
      </c>
      <c r="V71" s="18">
        <f t="shared" si="143"/>
        <v>606917.38633202598</v>
      </c>
      <c r="W71" s="18">
        <f t="shared" si="143"/>
        <v>625124.90792198677</v>
      </c>
      <c r="X71" s="138">
        <f>SUM(D71:W71)</f>
        <v>9401038.5053215381</v>
      </c>
    </row>
    <row r="72" spans="2:24" x14ac:dyDescent="0.15">
      <c r="B72" s="12" t="s">
        <v>67</v>
      </c>
      <c r="D72" s="18">
        <f>D69*$E$65</f>
        <v>0</v>
      </c>
      <c r="E72" s="18">
        <f>E69*$E$65</f>
        <v>0</v>
      </c>
      <c r="F72" s="18">
        <f t="shared" ref="F72:G72" si="144">F69*$E$65</f>
        <v>0</v>
      </c>
      <c r="G72" s="18">
        <f t="shared" si="144"/>
        <v>0</v>
      </c>
      <c r="H72" s="18">
        <f>(H69*$E$65)</f>
        <v>0</v>
      </c>
      <c r="I72" s="18">
        <f>(I69*$E$65)*0.5</f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  <c r="Q72" s="18"/>
      <c r="R72" s="18"/>
      <c r="S72" s="18"/>
      <c r="T72" s="18"/>
      <c r="U72" s="18"/>
      <c r="V72" s="18"/>
      <c r="W72" s="18"/>
      <c r="X72" s="48">
        <f t="shared" ref="X72" si="145">SUM(D72:P72)</f>
        <v>0</v>
      </c>
    </row>
    <row r="73" spans="2:24" x14ac:dyDescent="0.15">
      <c r="B73" s="135" t="s">
        <v>68</v>
      </c>
      <c r="C73" s="71"/>
      <c r="D73" s="169">
        <f>SUM(D71:D72)</f>
        <v>178250</v>
      </c>
      <c r="E73" s="169">
        <f>SUM(E71:E72)</f>
        <v>367195</v>
      </c>
      <c r="F73" s="169">
        <f t="shared" ref="F73:M73" si="146">SUM(F71:F72)</f>
        <v>378210.85000000003</v>
      </c>
      <c r="G73" s="169">
        <f t="shared" si="146"/>
        <v>389557.17550000007</v>
      </c>
      <c r="H73" s="169">
        <f t="shared" si="146"/>
        <v>401243.89076500008</v>
      </c>
      <c r="I73" s="169">
        <f t="shared" si="146"/>
        <v>413281.2074879501</v>
      </c>
      <c r="J73" s="169">
        <f t="shared" si="146"/>
        <v>425679.64371258864</v>
      </c>
      <c r="K73" s="169">
        <f t="shared" si="146"/>
        <v>438450.03302396636</v>
      </c>
      <c r="L73" s="169">
        <f t="shared" si="146"/>
        <v>451603.53401468531</v>
      </c>
      <c r="M73" s="169">
        <f t="shared" si="146"/>
        <v>465151.64003512589</v>
      </c>
      <c r="N73" s="169">
        <f t="shared" ref="N73:P73" si="147">SUM(N71:N72)</f>
        <v>479106.18923617969</v>
      </c>
      <c r="O73" s="169">
        <f t="shared" si="147"/>
        <v>493479.37491326506</v>
      </c>
      <c r="P73" s="169">
        <f t="shared" si="147"/>
        <v>508283.75616066303</v>
      </c>
      <c r="Q73" s="169">
        <f t="shared" ref="Q73:W73" si="148">SUM(Q71:Q72)</f>
        <v>523532.2688454829</v>
      </c>
      <c r="R73" s="169">
        <f t="shared" si="148"/>
        <v>539238.23691084748</v>
      </c>
      <c r="S73" s="169">
        <f t="shared" si="148"/>
        <v>555415.38401817286</v>
      </c>
      <c r="T73" s="169">
        <f t="shared" si="148"/>
        <v>572077.84553871804</v>
      </c>
      <c r="U73" s="169">
        <f t="shared" si="148"/>
        <v>589240.18090487958</v>
      </c>
      <c r="V73" s="169">
        <f t="shared" si="148"/>
        <v>606917.38633202598</v>
      </c>
      <c r="W73" s="169">
        <f t="shared" si="148"/>
        <v>625124.90792198677</v>
      </c>
      <c r="X73" s="169">
        <f>SUM(D73:W73)</f>
        <v>9401038.5053215381</v>
      </c>
    </row>
    <row r="74" spans="2:24" x14ac:dyDescent="0.15"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  <c r="U74" s="163"/>
      <c r="V74" s="163"/>
      <c r="W74" s="163"/>
      <c r="X74" s="163"/>
    </row>
    <row r="75" spans="2:24" x14ac:dyDescent="0.15">
      <c r="B75" s="147" t="s">
        <v>87</v>
      </c>
      <c r="C75" s="164"/>
      <c r="J75" s="168"/>
      <c r="K75" s="168"/>
      <c r="L75" s="168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  <c r="X75" s="166">
        <f t="shared" ref="X75" si="149">SUM(D75:P75)</f>
        <v>0</v>
      </c>
    </row>
    <row r="76" spans="2:24" x14ac:dyDescent="0.15">
      <c r="B76" s="160"/>
      <c r="C76" s="167"/>
      <c r="O76" s="163"/>
      <c r="P76" s="163"/>
      <c r="Q76" s="163"/>
      <c r="R76" s="163"/>
      <c r="S76" s="163"/>
      <c r="T76" s="163"/>
      <c r="U76" s="163"/>
      <c r="V76" s="163"/>
      <c r="W76" s="163"/>
      <c r="X76" s="166">
        <f>SUM(D76:W76)</f>
        <v>0</v>
      </c>
    </row>
    <row r="77" spans="2:24" x14ac:dyDescent="0.15">
      <c r="B77" s="160"/>
      <c r="C77" s="167"/>
      <c r="T77" s="163"/>
      <c r="U77" s="163"/>
      <c r="V77" s="163"/>
      <c r="W77" s="163"/>
      <c r="X77" s="166">
        <f>SUM(D77:W77)</f>
        <v>0</v>
      </c>
    </row>
    <row r="78" spans="2:24" ht="12" thickBot="1" x14ac:dyDescent="0.2">
      <c r="B78" s="160" t="s">
        <v>88</v>
      </c>
      <c r="C78" s="167">
        <v>0.25</v>
      </c>
      <c r="D78" s="165">
        <f t="shared" ref="D78:S78" si="150">D73*$C$78</f>
        <v>44562.5</v>
      </c>
      <c r="E78" s="165">
        <f t="shared" si="150"/>
        <v>91798.75</v>
      </c>
      <c r="F78" s="165">
        <f t="shared" si="150"/>
        <v>94552.712500000009</v>
      </c>
      <c r="G78" s="165">
        <f t="shared" si="150"/>
        <v>97389.293875000018</v>
      </c>
      <c r="H78" s="165">
        <f t="shared" si="150"/>
        <v>100310.97269125002</v>
      </c>
      <c r="I78" s="165">
        <f t="shared" si="150"/>
        <v>103320.30187198753</v>
      </c>
      <c r="J78" s="165">
        <f t="shared" si="150"/>
        <v>106419.91092814716</v>
      </c>
      <c r="K78" s="165">
        <f t="shared" si="150"/>
        <v>109612.50825599159</v>
      </c>
      <c r="L78" s="165">
        <f t="shared" si="150"/>
        <v>112900.88350367133</v>
      </c>
      <c r="M78" s="165">
        <f t="shared" si="150"/>
        <v>116287.91000878147</v>
      </c>
      <c r="N78" s="165">
        <f t="shared" si="150"/>
        <v>119776.54730904492</v>
      </c>
      <c r="O78" s="165">
        <f t="shared" si="150"/>
        <v>123369.84372831626</v>
      </c>
      <c r="P78" s="165">
        <f t="shared" si="150"/>
        <v>127070.93904016576</v>
      </c>
      <c r="Q78" s="165">
        <f t="shared" si="150"/>
        <v>130883.06721137073</v>
      </c>
      <c r="R78" s="165">
        <f t="shared" si="150"/>
        <v>134809.55922771187</v>
      </c>
      <c r="S78" s="165">
        <f t="shared" si="150"/>
        <v>138853.84600454321</v>
      </c>
      <c r="T78" s="165">
        <f t="shared" ref="T78:W78" si="151">T73*$C$78</f>
        <v>143019.46138467951</v>
      </c>
      <c r="U78" s="165">
        <f t="shared" si="151"/>
        <v>147310.0452262199</v>
      </c>
      <c r="V78" s="165">
        <f t="shared" si="151"/>
        <v>151729.3465830065</v>
      </c>
      <c r="W78" s="165">
        <f t="shared" si="151"/>
        <v>156281.22698049669</v>
      </c>
      <c r="X78" s="174">
        <f>SUM(D78:W78)</f>
        <v>2350259.6263303845</v>
      </c>
    </row>
    <row r="79" spans="2:24" s="37" customFormat="1" ht="12" thickBot="1" x14ac:dyDescent="0.2">
      <c r="B79" s="37" t="s">
        <v>89</v>
      </c>
      <c r="X79" s="175">
        <f>X50+X78</f>
        <v>6060084.2852885537</v>
      </c>
    </row>
  </sheetData>
  <mergeCells count="3">
    <mergeCell ref="B8:B9"/>
    <mergeCell ref="X11:X15"/>
    <mergeCell ref="B67:B68"/>
  </mergeCells>
  <conditionalFormatting sqref="D12:W15 D25:W25 D38:Z46 D48:Z51 D53:Z61 D62:X62">
    <cfRule type="cellIs" dxfId="0" priority="3" operator="greaterThan">
      <formula>0</formula>
    </cfRule>
  </conditionalFormatting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D13AA-FEE8-4393-B23A-2652864C1194}">
  <dimension ref="B1:J22"/>
  <sheetViews>
    <sheetView workbookViewId="0">
      <selection activeCell="I17" sqref="I17"/>
    </sheetView>
  </sheetViews>
  <sheetFormatPr baseColWidth="10" defaultColWidth="9.1640625" defaultRowHeight="14" x14ac:dyDescent="0.15"/>
  <cols>
    <col min="1" max="1" width="2.5" style="4" customWidth="1"/>
    <col min="2" max="2" width="12.5" style="4" bestFit="1" customWidth="1"/>
    <col min="3" max="3" width="22.6640625" style="4" customWidth="1"/>
    <col min="4" max="4" width="15.33203125" style="4" customWidth="1"/>
    <col min="5" max="5" width="13.5" style="4" customWidth="1"/>
    <col min="6" max="6" width="14.6640625" style="4" customWidth="1"/>
    <col min="7" max="7" width="9.33203125" style="4" bestFit="1" customWidth="1"/>
    <col min="8" max="8" width="9.1640625" style="4"/>
    <col min="9" max="9" width="44.1640625" style="4" bestFit="1" customWidth="1"/>
    <col min="10" max="10" width="16.83203125" style="4" bestFit="1" customWidth="1"/>
    <col min="11" max="16384" width="9.1640625" style="4"/>
  </cols>
  <sheetData>
    <row r="1" spans="2:10" ht="23" x14ac:dyDescent="0.25">
      <c r="B1" s="8"/>
    </row>
    <row r="2" spans="2:10" ht="16" x14ac:dyDescent="0.2">
      <c r="B2" s="11"/>
    </row>
    <row r="3" spans="2:10" x14ac:dyDescent="0.15">
      <c r="B3" s="15"/>
    </row>
    <row r="4" spans="2:10" x14ac:dyDescent="0.15">
      <c r="I4" s="5"/>
    </row>
    <row r="6" spans="2:10" x14ac:dyDescent="0.15">
      <c r="J6" s="143"/>
    </row>
    <row r="7" spans="2:10" x14ac:dyDescent="0.15">
      <c r="B7" s="94" t="s">
        <v>50</v>
      </c>
      <c r="C7" s="95"/>
      <c r="D7" s="95"/>
      <c r="E7" s="95"/>
      <c r="F7" s="96"/>
      <c r="G7" s="107"/>
    </row>
    <row r="8" spans="2:10" x14ac:dyDescent="0.15">
      <c r="B8" s="97" t="s">
        <v>41</v>
      </c>
      <c r="C8" s="98" t="s">
        <v>42</v>
      </c>
      <c r="D8" s="98" t="s">
        <v>51</v>
      </c>
      <c r="E8" s="98" t="s">
        <v>45</v>
      </c>
      <c r="F8" s="99" t="s">
        <v>46</v>
      </c>
      <c r="G8" s="6"/>
      <c r="J8" s="108">
        <f>F11*(1+0.3)</f>
        <v>243.30795751210664</v>
      </c>
    </row>
    <row r="9" spans="2:10" x14ac:dyDescent="0.15">
      <c r="B9" s="100">
        <v>1619151013</v>
      </c>
      <c r="C9" s="101" t="s">
        <v>43</v>
      </c>
      <c r="D9" s="102">
        <f>25175000*0.8</f>
        <v>20140000</v>
      </c>
      <c r="E9" s="109">
        <v>53000</v>
      </c>
      <c r="F9" s="103">
        <f>D9/E9</f>
        <v>380</v>
      </c>
      <c r="G9" s="108"/>
      <c r="I9" s="111" t="s">
        <v>56</v>
      </c>
      <c r="J9" s="104">
        <f>E9*((J8*(1+0.3)))</f>
        <v>16763918.27258415</v>
      </c>
    </row>
    <row r="10" spans="2:10" x14ac:dyDescent="0.15">
      <c r="B10" s="90">
        <v>2724491913</v>
      </c>
      <c r="C10" s="4" t="s">
        <v>52</v>
      </c>
      <c r="D10" s="91">
        <v>6594300</v>
      </c>
      <c r="E10" s="92">
        <v>44275</v>
      </c>
      <c r="F10" s="93">
        <f>D10/E10</f>
        <v>148.93958215697347</v>
      </c>
      <c r="G10" s="108"/>
    </row>
    <row r="11" spans="2:10" x14ac:dyDescent="0.15">
      <c r="B11" s="90">
        <v>1619251001</v>
      </c>
      <c r="C11" s="4" t="s">
        <v>53</v>
      </c>
      <c r="D11" s="91">
        <v>9391500</v>
      </c>
      <c r="E11" s="92">
        <v>50179</v>
      </c>
      <c r="F11" s="93">
        <f t="shared" ref="F11:F14" si="0">D11/E11</f>
        <v>187.15996731700511</v>
      </c>
      <c r="G11" s="108"/>
    </row>
    <row r="12" spans="2:10" x14ac:dyDescent="0.15">
      <c r="B12" s="90">
        <v>1606352028</v>
      </c>
      <c r="C12" s="4" t="s">
        <v>55</v>
      </c>
      <c r="D12" s="91">
        <v>5707400</v>
      </c>
      <c r="E12" s="92">
        <v>34967</v>
      </c>
      <c r="F12" s="93">
        <f t="shared" ref="F12" si="1">D12/E12</f>
        <v>163.22246689736036</v>
      </c>
      <c r="G12" s="108"/>
    </row>
    <row r="13" spans="2:10" x14ac:dyDescent="0.15">
      <c r="B13" s="90">
        <v>1524236008</v>
      </c>
      <c r="C13" s="4" t="s">
        <v>54</v>
      </c>
      <c r="D13" s="91">
        <v>5123300</v>
      </c>
      <c r="E13" s="92">
        <v>36419</v>
      </c>
      <c r="F13" s="93">
        <f t="shared" si="0"/>
        <v>140.67656992229331</v>
      </c>
      <c r="G13" s="108"/>
    </row>
    <row r="14" spans="2:10" x14ac:dyDescent="0.15">
      <c r="B14" s="90">
        <v>1619152018</v>
      </c>
      <c r="C14" s="4" t="s">
        <v>47</v>
      </c>
      <c r="D14" s="91">
        <v>840000</v>
      </c>
      <c r="E14" s="92">
        <v>5819</v>
      </c>
      <c r="F14" s="93">
        <f t="shared" si="0"/>
        <v>144.35470012029558</v>
      </c>
      <c r="G14" s="108"/>
    </row>
    <row r="15" spans="2:10" x14ac:dyDescent="0.15">
      <c r="B15" s="187"/>
      <c r="C15" s="188"/>
      <c r="D15" s="189"/>
      <c r="E15" s="105" t="s">
        <v>48</v>
      </c>
      <c r="F15" s="106">
        <f>AVERAGE(F10:F14)</f>
        <v>156.87065728278554</v>
      </c>
      <c r="G15" s="108"/>
      <c r="H15" s="108"/>
    </row>
    <row r="16" spans="2:10" x14ac:dyDescent="0.15">
      <c r="B16" s="190"/>
      <c r="C16" s="191"/>
      <c r="D16" s="192"/>
      <c r="E16" s="105" t="s">
        <v>49</v>
      </c>
      <c r="F16" s="106">
        <f>F15-F9</f>
        <v>-223.12934271721446</v>
      </c>
    </row>
    <row r="21" spans="6:6" x14ac:dyDescent="0.15">
      <c r="F21" s="91"/>
    </row>
    <row r="22" spans="6:6" x14ac:dyDescent="0.15">
      <c r="F22" s="91"/>
    </row>
  </sheetData>
  <mergeCells count="1">
    <mergeCell ref="B15:D16"/>
  </mergeCells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906F4-C542-4802-95E9-40FCB9850A41}">
  <dimension ref="C3:D25"/>
  <sheetViews>
    <sheetView workbookViewId="0">
      <selection activeCell="D28" sqref="D28"/>
    </sheetView>
  </sheetViews>
  <sheetFormatPr baseColWidth="10" defaultColWidth="8.83203125" defaultRowHeight="15" x14ac:dyDescent="0.2"/>
  <cols>
    <col min="3" max="3" width="15" bestFit="1" customWidth="1"/>
    <col min="4" max="4" width="14.5" bestFit="1" customWidth="1"/>
  </cols>
  <sheetData>
    <row r="3" spans="3:4" x14ac:dyDescent="0.2">
      <c r="C3" t="s">
        <v>44</v>
      </c>
      <c r="D3">
        <v>3.3</v>
      </c>
    </row>
    <row r="4" spans="3:4" x14ac:dyDescent="0.2">
      <c r="D4" s="110">
        <v>43560</v>
      </c>
    </row>
    <row r="5" spans="3:4" x14ac:dyDescent="0.2">
      <c r="D5" s="145">
        <f>D3*D4</f>
        <v>143748</v>
      </c>
    </row>
    <row r="6" spans="3:4" x14ac:dyDescent="0.2">
      <c r="D6" s="146">
        <v>15</v>
      </c>
    </row>
    <row r="7" spans="3:4" x14ac:dyDescent="0.2">
      <c r="D7" s="3">
        <f>D5*D6</f>
        <v>2156220</v>
      </c>
    </row>
    <row r="10" spans="3:4" x14ac:dyDescent="0.2">
      <c r="C10" t="s">
        <v>76</v>
      </c>
      <c r="D10">
        <v>0.25</v>
      </c>
    </row>
    <row r="11" spans="3:4" x14ac:dyDescent="0.2">
      <c r="D11" s="145">
        <f>D10*D4</f>
        <v>10890</v>
      </c>
    </row>
    <row r="12" spans="3:4" x14ac:dyDescent="0.2">
      <c r="D12" s="2">
        <v>40</v>
      </c>
    </row>
    <row r="13" spans="3:4" x14ac:dyDescent="0.2">
      <c r="D13" s="110">
        <f>D11*D12</f>
        <v>435600</v>
      </c>
    </row>
    <row r="15" spans="3:4" x14ac:dyDescent="0.2">
      <c r="C15" t="s">
        <v>75</v>
      </c>
      <c r="D15" s="3">
        <f>'Budget with Comps'!L12</f>
        <v>19763918.272584148</v>
      </c>
    </row>
    <row r="16" spans="3:4" x14ac:dyDescent="0.2">
      <c r="D16">
        <v>3.5000000000000001E-3</v>
      </c>
    </row>
    <row r="17" spans="3:4" x14ac:dyDescent="0.2">
      <c r="D17" s="2">
        <f>D15*D16</f>
        <v>69173.713954044521</v>
      </c>
    </row>
    <row r="18" spans="3:4" x14ac:dyDescent="0.2">
      <c r="D18" s="1">
        <f>D17*31</f>
        <v>2144385.1325753802</v>
      </c>
    </row>
    <row r="20" spans="3:4" x14ac:dyDescent="0.2">
      <c r="C20" t="s">
        <v>77</v>
      </c>
      <c r="D20" s="3">
        <v>675000</v>
      </c>
    </row>
    <row r="21" spans="3:4" x14ac:dyDescent="0.2">
      <c r="C21" t="s">
        <v>78</v>
      </c>
      <c r="D21" s="146">
        <v>0</v>
      </c>
    </row>
    <row r="22" spans="3:4" x14ac:dyDescent="0.2">
      <c r="C22" t="s">
        <v>79</v>
      </c>
      <c r="D22" s="3">
        <v>500000</v>
      </c>
    </row>
    <row r="25" spans="3:4" x14ac:dyDescent="0.2">
      <c r="C25" t="s">
        <v>80</v>
      </c>
      <c r="D25" s="1">
        <f>D7+D13+D18+D20+D22</f>
        <v>5911205.1325753797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0eac041-ada8-41ad-a0a1-d5b9709f9a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69E8E5EEB047428680C21956FD096E" ma:contentTypeVersion="13" ma:contentTypeDescription="Create a new document." ma:contentTypeScope="" ma:versionID="ffb97f71b29eadd14e1bc62934e0bc54">
  <xsd:schema xmlns:xsd="http://www.w3.org/2001/XMLSchema" xmlns:xs="http://www.w3.org/2001/XMLSchema" xmlns:p="http://schemas.microsoft.com/office/2006/metadata/properties" xmlns:ns3="10eac041-ada8-41ad-a0a1-d5b9709f9a60" xmlns:ns4="102c1bbd-7f67-4604-b3cd-ed5f7ecf6270" targetNamespace="http://schemas.microsoft.com/office/2006/metadata/properties" ma:root="true" ma:fieldsID="90cfc10ab3aef77f17d322cb3fe403f8" ns3:_="" ns4:_="">
    <xsd:import namespace="10eac041-ada8-41ad-a0a1-d5b9709f9a60"/>
    <xsd:import namespace="102c1bbd-7f67-4604-b3cd-ed5f7ecf627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eac041-ada8-41ad-a0a1-d5b9709f9a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2c1bbd-7f67-4604-b3cd-ed5f7ecf627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503882-065A-4A58-88D7-891A14989E82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10eac041-ada8-41ad-a0a1-d5b9709f9a60"/>
    <ds:schemaRef ds:uri="http://purl.org/dc/dcmitype/"/>
    <ds:schemaRef ds:uri="102c1bbd-7f67-4604-b3cd-ed5f7ecf6270"/>
    <ds:schemaRef ds:uri="http://purl.org/dc/terms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D98BE1D-B72E-43EA-AF28-E2849769C2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eac041-ada8-41ad-a0a1-d5b9709f9a60"/>
    <ds:schemaRef ds:uri="102c1bbd-7f67-4604-b3cd-ed5f7ecf62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666B93-C8C7-4244-84E1-9A0BFED590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 with Market Station</vt:lpstr>
      <vt:lpstr>Budget with Comps</vt:lpstr>
      <vt:lpstr>Comps</vt:lpstr>
      <vt:lpstr>Discussed Impediment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Baird</dc:creator>
  <cp:lastModifiedBy>Michael Winder</cp:lastModifiedBy>
  <dcterms:created xsi:type="dcterms:W3CDTF">2021-07-29T18:26:44Z</dcterms:created>
  <dcterms:modified xsi:type="dcterms:W3CDTF">2024-01-29T20:26:54Z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0x010100B969E8E5EEB047428680C21956FD096E</vt:lpwstr>
  </property>
</Properties>
</file>