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emf" ContentType="image/x-emf"/>
  <Default Extension="vml" ContentType="application/vnd.openxmlformats-officedocument.vmlDrawing"/>
  <Default Extension="bin" ContentType="application/vnd.openxmlformats-officedocument.spreadsheetml.printerSettings"/>
  <Default Extension="pn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embeddings/oleObject1.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715"/>
  <workbookPr/>
  <mc:AlternateContent xmlns:mc="http://schemas.openxmlformats.org/markup-compatibility/2006">
    <mc:Choice Requires="x15">
      <x15ac:absPath xmlns:x15ac="http://schemas.microsoft.com/office/spreadsheetml/2010/11/ac" url="/Users/mikewinder/Desktop/"/>
    </mc:Choice>
  </mc:AlternateContent>
  <bookViews>
    <workbookView xWindow="0" yWindow="0" windowWidth="28800" windowHeight="18000" tabRatio="836" activeTab="2"/>
  </bookViews>
  <sheets>
    <sheet name="A.1 - Summary " sheetId="33" r:id="rId1"/>
    <sheet name="B.1 - Dev Pro Forma" sheetId="1" r:id="rId2"/>
    <sheet name="Tax Increment Budget" sheetId="115" r:id="rId3"/>
    <sheet name="Base Year" sheetId="104" r:id="rId4"/>
    <sheet name="Tax Increment Graph" sheetId="118" r:id="rId5"/>
    <sheet name="D.1 - Sales Tax Revenues" sheetId="78" r:id="rId6"/>
    <sheet name="E.1 - Franchise Tax Revenues" sheetId="71" state="hidden" r:id="rId7"/>
    <sheet name="Infrastructure Costs" sheetId="108" state="hidden" r:id="rId8"/>
    <sheet name="F.1 - City Expenditures" sheetId="56" r:id="rId9"/>
    <sheet name="G.1 - City - Cost - Benefit" sheetId="38" state="hidden" r:id="rId10"/>
    <sheet name="H.1 - General Gov Expenditure" sheetId="109" r:id="rId11"/>
    <sheet name="Capital Expenditures" sheetId="113" state="hidden" r:id="rId12"/>
    <sheet name="Electricity" sheetId="44" state="hidden" r:id="rId13"/>
    <sheet name="NGComm" sheetId="46" state="hidden" r:id="rId14"/>
    <sheet name="NGRes" sheetId="47" state="hidden" r:id="rId15"/>
    <sheet name="NGRes2" sheetId="48" state="hidden" r:id="rId16"/>
    <sheet name="NGTax" sheetId="45" state="hidden" r:id="rId17"/>
    <sheet name="Telecom Data" sheetId="51" state="hidden" r:id="rId18"/>
    <sheet name="TaxRates" sheetId="53" state="hidden" r:id="rId19"/>
    <sheet name="Inflation" sheetId="18" state="hidden" r:id="rId20"/>
    <sheet name="D.2 - Indirect Sales" sheetId="80" state="hidden" r:id="rId21"/>
    <sheet name="Absorption Comps" sheetId="103" state="hidden" r:id="rId22"/>
    <sheet name="Parcel Info" sheetId="106" r:id="rId23"/>
  </sheets>
  <externalReferences>
    <externalReference r:id="rId24"/>
    <externalReference r:id="rId25"/>
    <externalReference r:id="rId26"/>
  </externalReferences>
  <definedNames>
    <definedName name="_xlnm._FilterDatabase" localSheetId="22" hidden="1">'Parcel Info'!$A$5:$R$250</definedName>
    <definedName name="_ftn1" localSheetId="7">'Infrastructure Costs'!$B$19</definedName>
    <definedName name="_ftnref1" localSheetId="7">'Infrastructure Costs'!$D$9</definedName>
    <definedName name="_xlnm.Database" localSheetId="3">#REF!</definedName>
    <definedName name="_xlnm.Database" localSheetId="2">#REF!</definedName>
    <definedName name="_xlnm.Database">#REF!</definedName>
    <definedName name="_xlnm.Print_Area" localSheetId="0">'A.1 - Summary '!$B$1:$H$44</definedName>
    <definedName name="_xlnm.Print_Area" localSheetId="1">'B.1 - Dev Pro Forma'!$A$1:$AI$119</definedName>
    <definedName name="_xlnm.Print_Area" localSheetId="3">'Base Year'!$A$1:$Z$56</definedName>
    <definedName name="_xlnm.Print_Area" localSheetId="5">'D.1 - Sales Tax Revenues'!$A$1:$Z$39</definedName>
    <definedName name="_xlnm.Print_Area" localSheetId="20">'D.2 - Indirect Sales'!$B$1:$R$47</definedName>
    <definedName name="_xlnm.Print_Area" localSheetId="6">'E.1 - Franchise Tax Revenues'!$A$1:$AB$39</definedName>
    <definedName name="_xlnm.Print_Area" localSheetId="9">'G.1 - City - Cost - Benefit'!$A$1:$Z$24</definedName>
    <definedName name="_xlnm.Print_Area" localSheetId="14">NGRes!$A$1:$J$149</definedName>
    <definedName name="_xlnm.Print_Area" localSheetId="15">NGRes2!$A$1:$H$149</definedName>
    <definedName name="_xlnm.Print_Area" localSheetId="16">NGTax!$A$1:$W$25</definedName>
    <definedName name="_xlnm.Print_Area" localSheetId="2">'Tax Increment Budget'!$A$1:$AA$65</definedName>
    <definedName name="_xlnm.Print_Titles" localSheetId="1">'B.1 - Dev Pro Forma'!$1:$2</definedName>
    <definedName name="_xlnm.Print_Titles" localSheetId="3">'Base Year'!$1:$4</definedName>
    <definedName name="_xlnm.Print_Titles" localSheetId="5">'D.1 - Sales Tax Revenues'!$1:$2</definedName>
    <definedName name="_xlnm.Print_Titles" localSheetId="20">'D.2 - Indirect Sales'!$1:$2</definedName>
    <definedName name="_xlnm.Print_Titles" localSheetId="12">Electricity!$A$4:$IV$10</definedName>
    <definedName name="_xlnm.Print_Titles" localSheetId="13">NGComm!$A$4:$IV$9</definedName>
    <definedName name="_xlnm.Print_Titles" localSheetId="14">NGRes!$A$1:$IV$8</definedName>
    <definedName name="_xlnm.Print_Titles" localSheetId="15">NGRes2!$A$1:$IV$7</definedName>
    <definedName name="_xlnm.Print_Titles" localSheetId="2">'Tax Increment Budget'!$1:$4</definedName>
    <definedName name="_xlnm.Print_Titles" localSheetId="18">TaxRates!$A$1:$IV$11</definedName>
  </definedNames>
  <calcPr calcId="150001" refMode="R1C1" iterateCount="0" calcOnSave="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58" i="106" l="1"/>
  <c r="I256" i="106"/>
  <c r="I254" i="106"/>
  <c r="L247" i="106"/>
  <c r="N247" i="106"/>
  <c r="L246" i="106"/>
  <c r="N246" i="106"/>
  <c r="L245" i="106"/>
  <c r="N245" i="106"/>
  <c r="L244" i="106"/>
  <c r="N244" i="106"/>
  <c r="L180" i="106"/>
  <c r="N180" i="106"/>
  <c r="L191" i="106"/>
  <c r="N191" i="106"/>
  <c r="L182" i="106"/>
  <c r="N182" i="106"/>
  <c r="L57" i="106"/>
  <c r="N57" i="106"/>
  <c r="C22" i="118"/>
  <c r="Q29" i="109"/>
  <c r="B32" i="115"/>
  <c r="B41" i="115"/>
  <c r="B56" i="115"/>
  <c r="B14" i="104"/>
  <c r="B9" i="71"/>
  <c r="C9" i="56"/>
  <c r="C27" i="56"/>
  <c r="C45" i="56"/>
  <c r="B8" i="71"/>
  <c r="B23" i="71"/>
  <c r="B7" i="71"/>
  <c r="E72" i="1"/>
  <c r="B24" i="71"/>
  <c r="C8" i="56"/>
  <c r="C26" i="56"/>
  <c r="C44" i="56"/>
  <c r="F72" i="1"/>
  <c r="G72" i="1"/>
  <c r="H72" i="1"/>
  <c r="G116" i="1"/>
  <c r="H116" i="1"/>
  <c r="I116" i="1"/>
  <c r="J116" i="1"/>
  <c r="K116" i="1"/>
  <c r="L116" i="1"/>
  <c r="M116" i="1"/>
  <c r="N116" i="1"/>
  <c r="O116" i="1"/>
  <c r="P116" i="1"/>
  <c r="Q116" i="1"/>
  <c r="R116" i="1"/>
  <c r="S116" i="1"/>
  <c r="T116" i="1"/>
  <c r="U116" i="1"/>
  <c r="V116" i="1"/>
  <c r="W116" i="1"/>
  <c r="X116" i="1"/>
  <c r="Y116" i="1"/>
  <c r="Z116" i="1"/>
  <c r="AA116" i="1"/>
  <c r="AB116" i="1"/>
  <c r="AC116" i="1"/>
  <c r="AD116" i="1"/>
  <c r="AE116" i="1"/>
  <c r="AF116" i="1"/>
  <c r="AG116" i="1"/>
  <c r="AH116" i="1"/>
  <c r="B114" i="1"/>
  <c r="C104" i="1"/>
  <c r="D104" i="1"/>
  <c r="E104"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C90" i="1"/>
  <c r="B81" i="1"/>
  <c r="B91" i="1"/>
  <c r="B104" i="1"/>
  <c r="U78" i="1"/>
  <c r="B78" i="1"/>
  <c r="U77" i="1"/>
  <c r="V77" i="1"/>
  <c r="W77" i="1"/>
  <c r="X77" i="1"/>
  <c r="B77" i="1"/>
  <c r="B82" i="1"/>
  <c r="B92" i="1"/>
  <c r="B109" i="1"/>
  <c r="U76" i="1"/>
  <c r="V76" i="1"/>
  <c r="D75" i="1"/>
  <c r="D90" i="1"/>
  <c r="C65" i="1"/>
  <c r="D64" i="1"/>
  <c r="E63" i="1"/>
  <c r="F62" i="1"/>
  <c r="E61" i="1"/>
  <c r="E60" i="1"/>
  <c r="D59" i="1"/>
  <c r="E58" i="1"/>
  <c r="F57" i="1"/>
  <c r="C53" i="1"/>
  <c r="E40" i="1"/>
  <c r="C52" i="1"/>
  <c r="C51" i="1"/>
  <c r="C40" i="1"/>
  <c r="D39" i="1"/>
  <c r="F27" i="1"/>
  <c r="C42" i="1"/>
  <c r="C39" i="1"/>
  <c r="B3" i="1"/>
  <c r="I72" i="1"/>
  <c r="C109" i="1"/>
  <c r="C114" i="1"/>
  <c r="C30" i="1"/>
  <c r="D25" i="1"/>
  <c r="D26" i="1"/>
  <c r="D18" i="1"/>
  <c r="F65" i="1"/>
  <c r="C54" i="1"/>
  <c r="C48" i="1"/>
  <c r="D54" i="1"/>
  <c r="D65" i="1"/>
  <c r="E65" i="1"/>
  <c r="Y77" i="1"/>
  <c r="E39" i="1"/>
  <c r="W76" i="1"/>
  <c r="D53" i="1"/>
  <c r="D40" i="1"/>
  <c r="V78" i="1"/>
  <c r="E75" i="1"/>
  <c r="J72" i="1"/>
  <c r="D109" i="1"/>
  <c r="E109"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D52" i="1"/>
  <c r="Z77" i="1"/>
  <c r="D51" i="1"/>
  <c r="D27" i="1"/>
  <c r="W78" i="1"/>
  <c r="D21" i="1"/>
  <c r="E21" i="1"/>
  <c r="G21" i="1"/>
  <c r="D20" i="1"/>
  <c r="E20" i="1"/>
  <c r="G20" i="1"/>
  <c r="D19" i="1"/>
  <c r="E35" i="1"/>
  <c r="D114" i="1"/>
  <c r="E114" i="1"/>
  <c r="F114" i="1"/>
  <c r="G114" i="1"/>
  <c r="H114" i="1"/>
  <c r="I114" i="1"/>
  <c r="J114" i="1"/>
  <c r="K114" i="1"/>
  <c r="L114" i="1"/>
  <c r="M114" i="1"/>
  <c r="N114" i="1"/>
  <c r="O114" i="1"/>
  <c r="P114" i="1"/>
  <c r="Q114" i="1"/>
  <c r="R114" i="1"/>
  <c r="S114" i="1"/>
  <c r="T114" i="1"/>
  <c r="U114" i="1"/>
  <c r="V114" i="1"/>
  <c r="W114" i="1"/>
  <c r="X114" i="1"/>
  <c r="Y114" i="1"/>
  <c r="Z114" i="1"/>
  <c r="AA114" i="1"/>
  <c r="AB114" i="1"/>
  <c r="AC114" i="1"/>
  <c r="AD114" i="1"/>
  <c r="AE114" i="1"/>
  <c r="AF114" i="1"/>
  <c r="AG114" i="1"/>
  <c r="AH114" i="1"/>
  <c r="E38" i="1"/>
  <c r="E90" i="1"/>
  <c r="F75" i="1"/>
  <c r="X76" i="1"/>
  <c r="D30" i="1"/>
  <c r="G30" i="1"/>
  <c r="H87" i="1"/>
  <c r="I87" i="1"/>
  <c r="J87" i="1"/>
  <c r="F87" i="1"/>
  <c r="G87" i="1"/>
  <c r="E87" i="1"/>
  <c r="H19" i="1"/>
  <c r="I30" i="1"/>
  <c r="K72" i="1"/>
  <c r="X78" i="1"/>
  <c r="Y76" i="1"/>
  <c r="C35" i="1"/>
  <c r="E27" i="1"/>
  <c r="G27" i="1"/>
  <c r="I23" i="1"/>
  <c r="E26" i="1"/>
  <c r="G26" i="1"/>
  <c r="D36" i="1"/>
  <c r="D28" i="1"/>
  <c r="D35" i="1"/>
  <c r="I42" i="1"/>
  <c r="AA77" i="1"/>
  <c r="G75" i="1"/>
  <c r="F90" i="1"/>
  <c r="W86" i="1"/>
  <c r="D22" i="1"/>
  <c r="E19" i="1"/>
  <c r="E22" i="1"/>
  <c r="M86" i="1"/>
  <c r="F30" i="1"/>
  <c r="I83" i="1"/>
  <c r="Q83" i="1"/>
  <c r="E83" i="1"/>
  <c r="G83" i="1"/>
  <c r="J83" i="1"/>
  <c r="F83" i="1"/>
  <c r="K83" i="1"/>
  <c r="N83" i="1"/>
  <c r="P83" i="1"/>
  <c r="O83" i="1"/>
  <c r="L83" i="1"/>
  <c r="M83" i="1"/>
  <c r="H83" i="1"/>
  <c r="D86" i="1"/>
  <c r="D88" i="1"/>
  <c r="C8" i="78"/>
  <c r="E71" i="1"/>
  <c r="C23" i="78"/>
  <c r="C29" i="78"/>
  <c r="J23" i="1"/>
  <c r="F71" i="1"/>
  <c r="D23" i="78"/>
  <c r="G71" i="1"/>
  <c r="E23" i="78"/>
  <c r="H71" i="1"/>
  <c r="F23" i="78"/>
  <c r="I71" i="1"/>
  <c r="G23" i="78"/>
  <c r="P86" i="1"/>
  <c r="P88" i="1"/>
  <c r="K86" i="1"/>
  <c r="K88" i="1"/>
  <c r="E86" i="1"/>
  <c r="E88" i="1"/>
  <c r="J71" i="1"/>
  <c r="H23" i="78"/>
  <c r="L72" i="1"/>
  <c r="K71" i="1"/>
  <c r="I23" i="78"/>
  <c r="H86" i="1"/>
  <c r="H88" i="1"/>
  <c r="L86" i="1"/>
  <c r="L88" i="1"/>
  <c r="F35" i="1"/>
  <c r="C36" i="1"/>
  <c r="X81" i="1"/>
  <c r="G28" i="1"/>
  <c r="O86" i="1"/>
  <c r="O88" i="1"/>
  <c r="I86" i="1"/>
  <c r="I88" i="1"/>
  <c r="Q86" i="1"/>
  <c r="Q88" i="1"/>
  <c r="J86" i="1"/>
  <c r="J88" i="1"/>
  <c r="F86" i="1"/>
  <c r="F88" i="1"/>
  <c r="R86" i="1"/>
  <c r="R88" i="1"/>
  <c r="U86" i="1"/>
  <c r="U88" i="1"/>
  <c r="N86" i="1"/>
  <c r="N88" i="1"/>
  <c r="C86" i="1"/>
  <c r="C96" i="1"/>
  <c r="T86" i="1"/>
  <c r="T88" i="1"/>
  <c r="G86" i="1"/>
  <c r="G88" i="1"/>
  <c r="S86" i="1"/>
  <c r="S88" i="1"/>
  <c r="I43" i="1"/>
  <c r="I44" i="1"/>
  <c r="M88" i="1"/>
  <c r="AA82" i="1"/>
  <c r="Z76" i="1"/>
  <c r="AB77" i="1"/>
  <c r="G19" i="1"/>
  <c r="G22" i="1"/>
  <c r="V86" i="1"/>
  <c r="Y78" i="1"/>
  <c r="X86" i="1"/>
  <c r="W88" i="1"/>
  <c r="G90" i="1"/>
  <c r="H75" i="1"/>
  <c r="D96" i="1"/>
  <c r="E96" i="1"/>
  <c r="F96" i="1"/>
  <c r="G96" i="1"/>
  <c r="H96" i="1"/>
  <c r="I96" i="1"/>
  <c r="J96" i="1"/>
  <c r="K96" i="1"/>
  <c r="L96" i="1"/>
  <c r="M96" i="1"/>
  <c r="N96" i="1"/>
  <c r="O96" i="1"/>
  <c r="P96" i="1"/>
  <c r="Q96" i="1"/>
  <c r="R96" i="1"/>
  <c r="S96" i="1"/>
  <c r="T96" i="1"/>
  <c r="U96" i="1"/>
  <c r="V96" i="1"/>
  <c r="W96" i="1"/>
  <c r="X96" i="1"/>
  <c r="V81" i="1"/>
  <c r="D81" i="1"/>
  <c r="L81" i="1"/>
  <c r="M72" i="1"/>
  <c r="L71" i="1"/>
  <c r="J23" i="78"/>
  <c r="U81" i="1"/>
  <c r="E81" i="1"/>
  <c r="P81" i="1"/>
  <c r="R81" i="1"/>
  <c r="G81" i="1"/>
  <c r="N81" i="1"/>
  <c r="M81" i="1"/>
  <c r="Y81" i="1"/>
  <c r="Q81" i="1"/>
  <c r="C81" i="1"/>
  <c r="C91" i="1"/>
  <c r="O81" i="1"/>
  <c r="K81" i="1"/>
  <c r="S81" i="1"/>
  <c r="W81" i="1"/>
  <c r="H81" i="1"/>
  <c r="T81" i="1"/>
  <c r="E36" i="1"/>
  <c r="F36" i="1"/>
  <c r="I81" i="1"/>
  <c r="J81" i="1"/>
  <c r="F81" i="1"/>
  <c r="C88" i="1"/>
  <c r="C98" i="1"/>
  <c r="D98" i="1"/>
  <c r="E98" i="1"/>
  <c r="F98" i="1"/>
  <c r="G98" i="1"/>
  <c r="H98" i="1"/>
  <c r="I98" i="1"/>
  <c r="J98" i="1"/>
  <c r="K98" i="1"/>
  <c r="L98" i="1"/>
  <c r="M98" i="1"/>
  <c r="N98" i="1"/>
  <c r="O98" i="1"/>
  <c r="P98" i="1"/>
  <c r="Q98" i="1"/>
  <c r="R98" i="1"/>
  <c r="S98" i="1"/>
  <c r="T98" i="1"/>
  <c r="U98" i="1"/>
  <c r="V88" i="1"/>
  <c r="H90" i="1"/>
  <c r="I75" i="1"/>
  <c r="Z81" i="1"/>
  <c r="AA76" i="1"/>
  <c r="Y86" i="1"/>
  <c r="Z78" i="1"/>
  <c r="X88" i="1"/>
  <c r="AC77" i="1"/>
  <c r="AB82" i="1"/>
  <c r="S82" i="1"/>
  <c r="K82" i="1"/>
  <c r="C82" i="1"/>
  <c r="Q82" i="1"/>
  <c r="I82" i="1"/>
  <c r="P82" i="1"/>
  <c r="H82" i="1"/>
  <c r="O82" i="1"/>
  <c r="G82" i="1"/>
  <c r="M82" i="1"/>
  <c r="E82" i="1"/>
  <c r="T82" i="1"/>
  <c r="L82" i="1"/>
  <c r="J82" i="1"/>
  <c r="F82" i="1"/>
  <c r="N82" i="1"/>
  <c r="D82" i="1"/>
  <c r="D84" i="1"/>
  <c r="R82" i="1"/>
  <c r="U82" i="1"/>
  <c r="W82" i="1"/>
  <c r="V82" i="1"/>
  <c r="X82" i="1"/>
  <c r="Y82" i="1"/>
  <c r="Z82" i="1"/>
  <c r="D91" i="1"/>
  <c r="D105" i="1"/>
  <c r="P84" i="1"/>
  <c r="G84" i="1"/>
  <c r="N72" i="1"/>
  <c r="M71" i="1"/>
  <c r="K23" i="78"/>
  <c r="M84" i="1"/>
  <c r="Q84" i="1"/>
  <c r="E84" i="1"/>
  <c r="C84" i="1"/>
  <c r="C94" i="1"/>
  <c r="D94" i="1"/>
  <c r="S84" i="1"/>
  <c r="S83" i="1"/>
  <c r="F84" i="1"/>
  <c r="J84" i="1"/>
  <c r="W84" i="1"/>
  <c r="W83" i="1"/>
  <c r="D37" i="1"/>
  <c r="C37" i="1"/>
  <c r="E37" i="1"/>
  <c r="Y85" i="1"/>
  <c r="Y87" i="1"/>
  <c r="D83" i="1"/>
  <c r="X84" i="1"/>
  <c r="AA81" i="1"/>
  <c r="AB76" i="1"/>
  <c r="Y84" i="1"/>
  <c r="AD77" i="1"/>
  <c r="AC82" i="1"/>
  <c r="O84" i="1"/>
  <c r="Z84" i="1"/>
  <c r="H84" i="1"/>
  <c r="I90" i="1"/>
  <c r="J75" i="1"/>
  <c r="C107" i="1"/>
  <c r="C105" i="1"/>
  <c r="Z86" i="1"/>
  <c r="AA78" i="1"/>
  <c r="Z85" i="1"/>
  <c r="U84" i="1"/>
  <c r="O85" i="1"/>
  <c r="G85" i="1"/>
  <c r="M85" i="1"/>
  <c r="E85" i="1"/>
  <c r="T85" i="1"/>
  <c r="L85" i="1"/>
  <c r="D85" i="1"/>
  <c r="S85" i="1"/>
  <c r="K85" i="1"/>
  <c r="C85" i="1"/>
  <c r="Q85" i="1"/>
  <c r="I85" i="1"/>
  <c r="F85" i="1"/>
  <c r="R85" i="1"/>
  <c r="N85" i="1"/>
  <c r="P85" i="1"/>
  <c r="J85" i="1"/>
  <c r="H85" i="1"/>
  <c r="U85" i="1"/>
  <c r="V85" i="1"/>
  <c r="W85" i="1"/>
  <c r="X85" i="1"/>
  <c r="V98" i="1"/>
  <c r="W98" i="1"/>
  <c r="X98" i="1"/>
  <c r="C92" i="1"/>
  <c r="Y88" i="1"/>
  <c r="Y96" i="1"/>
  <c r="V84" i="1"/>
  <c r="T84" i="1"/>
  <c r="I84" i="1"/>
  <c r="K84" i="1"/>
  <c r="R84" i="1"/>
  <c r="L84" i="1"/>
  <c r="N84" i="1"/>
  <c r="E91" i="1"/>
  <c r="F91" i="1"/>
  <c r="D107" i="1"/>
  <c r="C83" i="1"/>
  <c r="C93" i="1"/>
  <c r="D93" i="1"/>
  <c r="E93" i="1"/>
  <c r="F93" i="1"/>
  <c r="G93" i="1"/>
  <c r="O72" i="1"/>
  <c r="O71" i="1"/>
  <c r="M23" i="78"/>
  <c r="N71" i="1"/>
  <c r="L23" i="78"/>
  <c r="E94" i="1"/>
  <c r="F94" i="1"/>
  <c r="G94" i="1"/>
  <c r="H94" i="1"/>
  <c r="I94" i="1"/>
  <c r="J94" i="1"/>
  <c r="K94" i="1"/>
  <c r="L94" i="1"/>
  <c r="M94" i="1"/>
  <c r="N94" i="1"/>
  <c r="O94" i="1"/>
  <c r="P94" i="1"/>
  <c r="Q94" i="1"/>
  <c r="R94" i="1"/>
  <c r="S94" i="1"/>
  <c r="T94" i="1"/>
  <c r="U94" i="1"/>
  <c r="V94" i="1"/>
  <c r="W94" i="1"/>
  <c r="X94" i="1"/>
  <c r="Y94" i="1"/>
  <c r="Z94" i="1"/>
  <c r="N87" i="1"/>
  <c r="D87" i="1"/>
  <c r="M112" i="1"/>
  <c r="M107" i="1"/>
  <c r="Z88" i="1"/>
  <c r="Z96" i="1"/>
  <c r="X83" i="1"/>
  <c r="X87" i="1"/>
  <c r="W87" i="1"/>
  <c r="D106" i="1"/>
  <c r="F112" i="1"/>
  <c r="F107" i="1"/>
  <c r="V87" i="1"/>
  <c r="T87" i="1"/>
  <c r="AE77" i="1"/>
  <c r="AD82" i="1"/>
  <c r="AB81" i="1"/>
  <c r="AC76" i="1"/>
  <c r="U83" i="1"/>
  <c r="T83" i="1"/>
  <c r="L87" i="1"/>
  <c r="Y98" i="1"/>
  <c r="U87" i="1"/>
  <c r="C106" i="1"/>
  <c r="C108" i="1"/>
  <c r="AA84" i="1"/>
  <c r="E112" i="1"/>
  <c r="E107" i="1"/>
  <c r="G112" i="1"/>
  <c r="G107" i="1"/>
  <c r="J112" i="1"/>
  <c r="J107" i="1"/>
  <c r="Q87" i="1"/>
  <c r="M87" i="1"/>
  <c r="Y83" i="1"/>
  <c r="P112" i="1"/>
  <c r="Q112" i="1"/>
  <c r="R112" i="1"/>
  <c r="S112" i="1"/>
  <c r="T112" i="1"/>
  <c r="U112" i="1"/>
  <c r="V112" i="1"/>
  <c r="W112" i="1"/>
  <c r="X112" i="1"/>
  <c r="Y112" i="1"/>
  <c r="Z112" i="1"/>
  <c r="AA112" i="1"/>
  <c r="AB112" i="1"/>
  <c r="AC112" i="1"/>
  <c r="AD112" i="1"/>
  <c r="AE112" i="1"/>
  <c r="AF112" i="1"/>
  <c r="AG112" i="1"/>
  <c r="AH112" i="1"/>
  <c r="P107" i="1"/>
  <c r="Q107" i="1"/>
  <c r="R107" i="1"/>
  <c r="S107" i="1"/>
  <c r="T107" i="1"/>
  <c r="U107" i="1"/>
  <c r="V107" i="1"/>
  <c r="W107" i="1"/>
  <c r="X107" i="1"/>
  <c r="Y107" i="1"/>
  <c r="Z107" i="1"/>
  <c r="AA107" i="1"/>
  <c r="AB107" i="1"/>
  <c r="AC107" i="1"/>
  <c r="AD107" i="1"/>
  <c r="AE107" i="1"/>
  <c r="AF107" i="1"/>
  <c r="AG107" i="1"/>
  <c r="AH107" i="1"/>
  <c r="S87" i="1"/>
  <c r="AA86" i="1"/>
  <c r="AA85" i="1"/>
  <c r="AB78" i="1"/>
  <c r="R87" i="1"/>
  <c r="V83" i="1"/>
  <c r="C112" i="1"/>
  <c r="C110" i="1"/>
  <c r="C95" i="1"/>
  <c r="D95" i="1"/>
  <c r="E95" i="1"/>
  <c r="C87" i="1"/>
  <c r="J90" i="1"/>
  <c r="K75" i="1"/>
  <c r="R83" i="1"/>
  <c r="D92" i="1"/>
  <c r="P87" i="1"/>
  <c r="K87" i="1"/>
  <c r="O87" i="1"/>
  <c r="Z87" i="1"/>
  <c r="Z83" i="1"/>
  <c r="E105" i="1"/>
  <c r="E106" i="1"/>
  <c r="E108" i="1"/>
  <c r="E10" i="115"/>
  <c r="D108" i="1"/>
  <c r="E115" i="1"/>
  <c r="N23" i="78"/>
  <c r="F37" i="1"/>
  <c r="Z98" i="1"/>
  <c r="F95" i="1"/>
  <c r="I112" i="1"/>
  <c r="I107" i="1"/>
  <c r="AE82" i="1"/>
  <c r="AF77" i="1"/>
  <c r="H117" i="1"/>
  <c r="H112" i="1"/>
  <c r="H107" i="1"/>
  <c r="H93" i="1"/>
  <c r="I93" i="1"/>
  <c r="J93" i="1"/>
  <c r="K93" i="1"/>
  <c r="L93" i="1"/>
  <c r="M93" i="1"/>
  <c r="N93" i="1"/>
  <c r="O93" i="1"/>
  <c r="P93" i="1"/>
  <c r="Q93" i="1"/>
  <c r="R93" i="1"/>
  <c r="S93" i="1"/>
  <c r="T93" i="1"/>
  <c r="U93" i="1"/>
  <c r="V93" i="1"/>
  <c r="W93" i="1"/>
  <c r="X93" i="1"/>
  <c r="Y93" i="1"/>
  <c r="Z93" i="1"/>
  <c r="F105" i="1"/>
  <c r="G91" i="1"/>
  <c r="C97" i="1"/>
  <c r="J117" i="1"/>
  <c r="N112" i="1"/>
  <c r="N107" i="1"/>
  <c r="L107" i="1"/>
  <c r="L112" i="1"/>
  <c r="M117" i="1"/>
  <c r="E117" i="1"/>
  <c r="K90" i="1"/>
  <c r="L75" i="1"/>
  <c r="D110" i="1"/>
  <c r="D112" i="1"/>
  <c r="E92" i="1"/>
  <c r="K112" i="1"/>
  <c r="K107" i="1"/>
  <c r="I117" i="1"/>
  <c r="L117" i="1"/>
  <c r="AD76" i="1"/>
  <c r="AC81" i="1"/>
  <c r="O112" i="1"/>
  <c r="O107" i="1"/>
  <c r="C111" i="1"/>
  <c r="C113" i="1"/>
  <c r="C119" i="1"/>
  <c r="AB85" i="1"/>
  <c r="AC78" i="1"/>
  <c r="AB86" i="1"/>
  <c r="F117" i="1"/>
  <c r="AA94" i="1"/>
  <c r="AA83" i="1"/>
  <c r="AB84" i="1"/>
  <c r="N117" i="1"/>
  <c r="AA96" i="1"/>
  <c r="AA88" i="1"/>
  <c r="K117" i="1"/>
  <c r="O117" i="1"/>
  <c r="P117" i="1"/>
  <c r="Q117" i="1"/>
  <c r="R117" i="1"/>
  <c r="S117" i="1"/>
  <c r="T117" i="1"/>
  <c r="U117" i="1"/>
  <c r="V117" i="1"/>
  <c r="W117" i="1"/>
  <c r="X117" i="1"/>
  <c r="Y117" i="1"/>
  <c r="Z117" i="1"/>
  <c r="AA117" i="1"/>
  <c r="AB117" i="1"/>
  <c r="AC117" i="1"/>
  <c r="AD117" i="1"/>
  <c r="AE117" i="1"/>
  <c r="AF117" i="1"/>
  <c r="AG117" i="1"/>
  <c r="AH117" i="1"/>
  <c r="G117" i="1"/>
  <c r="AA87" i="1"/>
  <c r="O23" i="78"/>
  <c r="AA98" i="1"/>
  <c r="AD81" i="1"/>
  <c r="AE76" i="1"/>
  <c r="F106" i="1"/>
  <c r="F108" i="1"/>
  <c r="F10" i="115"/>
  <c r="C117" i="1"/>
  <c r="C115" i="1"/>
  <c r="L90" i="1"/>
  <c r="M75" i="1"/>
  <c r="F115" i="1"/>
  <c r="F118" i="1"/>
  <c r="F12" i="115"/>
  <c r="G95" i="1"/>
  <c r="AG77" i="1"/>
  <c r="AF82" i="1"/>
  <c r="E118" i="1"/>
  <c r="E12" i="115"/>
  <c r="D111" i="1"/>
  <c r="D113" i="1"/>
  <c r="D119" i="1"/>
  <c r="AB88" i="1"/>
  <c r="AB96" i="1"/>
  <c r="D97" i="1"/>
  <c r="E110" i="1"/>
  <c r="F92" i="1"/>
  <c r="AC86" i="1"/>
  <c r="AC85" i="1"/>
  <c r="AD78" i="1"/>
  <c r="AA93" i="1"/>
  <c r="AB94" i="1"/>
  <c r="AB83" i="1"/>
  <c r="AB87" i="1"/>
  <c r="AC84" i="1"/>
  <c r="G105" i="1"/>
  <c r="H91" i="1"/>
  <c r="P23" i="78"/>
  <c r="AB98" i="1"/>
  <c r="H105" i="1"/>
  <c r="I91" i="1"/>
  <c r="AE81" i="1"/>
  <c r="AF76" i="1"/>
  <c r="C116" i="1"/>
  <c r="C118" i="1"/>
  <c r="AD84" i="1"/>
  <c r="G106" i="1"/>
  <c r="G108" i="1"/>
  <c r="G10" i="115"/>
  <c r="AG82" i="1"/>
  <c r="AH77" i="1"/>
  <c r="AC87" i="1"/>
  <c r="D117" i="1"/>
  <c r="D115" i="1"/>
  <c r="E97" i="1"/>
  <c r="F97" i="1"/>
  <c r="G97" i="1"/>
  <c r="H97" i="1"/>
  <c r="I97" i="1"/>
  <c r="J97" i="1"/>
  <c r="K97" i="1"/>
  <c r="L97" i="1"/>
  <c r="M97" i="1"/>
  <c r="N97" i="1"/>
  <c r="O97" i="1"/>
  <c r="P97" i="1"/>
  <c r="Q97" i="1"/>
  <c r="R97" i="1"/>
  <c r="S97" i="1"/>
  <c r="T97" i="1"/>
  <c r="U97" i="1"/>
  <c r="V97" i="1"/>
  <c r="W97" i="1"/>
  <c r="X97" i="1"/>
  <c r="Y97" i="1"/>
  <c r="Z97" i="1"/>
  <c r="AA97" i="1"/>
  <c r="AB97" i="1"/>
  <c r="AC94" i="1"/>
  <c r="AC83" i="1"/>
  <c r="AC96" i="1"/>
  <c r="AC88" i="1"/>
  <c r="G115" i="1"/>
  <c r="G118" i="1"/>
  <c r="G12" i="115"/>
  <c r="H95" i="1"/>
  <c r="AE78" i="1"/>
  <c r="AD86" i="1"/>
  <c r="AD85" i="1"/>
  <c r="AB93" i="1"/>
  <c r="E111" i="1"/>
  <c r="E113" i="1"/>
  <c r="M90" i="1"/>
  <c r="N75" i="1"/>
  <c r="F110" i="1"/>
  <c r="G92" i="1"/>
  <c r="Q23" i="78"/>
  <c r="E119" i="1"/>
  <c r="E11" i="115"/>
  <c r="AC93" i="1"/>
  <c r="AG76" i="1"/>
  <c r="AF81" i="1"/>
  <c r="AE84" i="1"/>
  <c r="AH82" i="1"/>
  <c r="AI82" i="1"/>
  <c r="AK82" i="1"/>
  <c r="AI77" i="1"/>
  <c r="AD87" i="1"/>
  <c r="F111" i="1"/>
  <c r="F113" i="1"/>
  <c r="AD96" i="1"/>
  <c r="AD88" i="1"/>
  <c r="H115" i="1"/>
  <c r="H118" i="1"/>
  <c r="H12" i="115"/>
  <c r="I95" i="1"/>
  <c r="AD94" i="1"/>
  <c r="AD83" i="1"/>
  <c r="AC97" i="1"/>
  <c r="AE85" i="1"/>
  <c r="AE86" i="1"/>
  <c r="AF78" i="1"/>
  <c r="I105" i="1"/>
  <c r="J91" i="1"/>
  <c r="G110" i="1"/>
  <c r="H92" i="1"/>
  <c r="D116" i="1"/>
  <c r="D118" i="1"/>
  <c r="H106" i="1"/>
  <c r="H108" i="1"/>
  <c r="H10" i="115"/>
  <c r="O75" i="1"/>
  <c r="N90" i="1"/>
  <c r="AC98" i="1"/>
  <c r="R23" i="78"/>
  <c r="F119" i="1"/>
  <c r="F11" i="115"/>
  <c r="AD93" i="1"/>
  <c r="AD98" i="1"/>
  <c r="H110" i="1"/>
  <c r="I92" i="1"/>
  <c r="AF84" i="1"/>
  <c r="G111" i="1"/>
  <c r="G113" i="1"/>
  <c r="AD97" i="1"/>
  <c r="AG81" i="1"/>
  <c r="AH76" i="1"/>
  <c r="O90" i="1"/>
  <c r="P75" i="1"/>
  <c r="AG78" i="1"/>
  <c r="AF86" i="1"/>
  <c r="AF85" i="1"/>
  <c r="J105" i="1"/>
  <c r="K91" i="1"/>
  <c r="I106" i="1"/>
  <c r="I108" i="1"/>
  <c r="I10" i="115"/>
  <c r="AE88" i="1"/>
  <c r="AE96" i="1"/>
  <c r="AE94" i="1"/>
  <c r="AE83" i="1"/>
  <c r="AE87" i="1"/>
  <c r="I115" i="1"/>
  <c r="I118" i="1"/>
  <c r="I12" i="115"/>
  <c r="J95" i="1"/>
  <c r="S23" i="78"/>
  <c r="G119" i="1"/>
  <c r="G11" i="115"/>
  <c r="AE93" i="1"/>
  <c r="AE98" i="1"/>
  <c r="K105" i="1"/>
  <c r="L91" i="1"/>
  <c r="P90" i="1"/>
  <c r="Q75" i="1"/>
  <c r="J115" i="1"/>
  <c r="J118" i="1"/>
  <c r="J12" i="115"/>
  <c r="K95" i="1"/>
  <c r="I110" i="1"/>
  <c r="J92" i="1"/>
  <c r="AF94" i="1"/>
  <c r="AF83" i="1"/>
  <c r="AF87" i="1"/>
  <c r="AF96" i="1"/>
  <c r="AF88" i="1"/>
  <c r="AH81" i="1"/>
  <c r="AI76" i="1"/>
  <c r="H111" i="1"/>
  <c r="H113" i="1"/>
  <c r="AE97" i="1"/>
  <c r="J106" i="1"/>
  <c r="J108" i="1"/>
  <c r="J10" i="115"/>
  <c r="AG86" i="1"/>
  <c r="AG85" i="1"/>
  <c r="AH78" i="1"/>
  <c r="AG84" i="1"/>
  <c r="T23" i="78"/>
  <c r="H119" i="1"/>
  <c r="H11" i="115"/>
  <c r="AF93" i="1"/>
  <c r="AF98" i="1"/>
  <c r="J110" i="1"/>
  <c r="K92" i="1"/>
  <c r="R75" i="1"/>
  <c r="Q90" i="1"/>
  <c r="AG87" i="1"/>
  <c r="AH84" i="1"/>
  <c r="AI81" i="1"/>
  <c r="AK81" i="1"/>
  <c r="AG94" i="1"/>
  <c r="AG83" i="1"/>
  <c r="AG88" i="1"/>
  <c r="AG96" i="1"/>
  <c r="I111" i="1"/>
  <c r="I113" i="1"/>
  <c r="L105" i="1"/>
  <c r="M91" i="1"/>
  <c r="AH86" i="1"/>
  <c r="AH85" i="1"/>
  <c r="AI78" i="1"/>
  <c r="K106" i="1"/>
  <c r="K108" i="1"/>
  <c r="K10" i="115"/>
  <c r="AF97" i="1"/>
  <c r="K115" i="1"/>
  <c r="K118" i="1"/>
  <c r="K12" i="115"/>
  <c r="L95" i="1"/>
  <c r="U23" i="78"/>
  <c r="I119" i="1"/>
  <c r="I11" i="115"/>
  <c r="AG93" i="1"/>
  <c r="AG97" i="1"/>
  <c r="AG98" i="1"/>
  <c r="AH88" i="1"/>
  <c r="AH96" i="1"/>
  <c r="AI86" i="1"/>
  <c r="R90" i="1"/>
  <c r="S75" i="1"/>
  <c r="K110" i="1"/>
  <c r="L92" i="1"/>
  <c r="M105" i="1"/>
  <c r="N91" i="1"/>
  <c r="L106" i="1"/>
  <c r="L108" i="1"/>
  <c r="L10" i="115"/>
  <c r="AH94" i="1"/>
  <c r="AH83" i="1"/>
  <c r="AI84" i="1"/>
  <c r="J111" i="1"/>
  <c r="J113" i="1"/>
  <c r="L115" i="1"/>
  <c r="L118" i="1"/>
  <c r="L12" i="115"/>
  <c r="M95" i="1"/>
  <c r="AH87" i="1"/>
  <c r="AI85" i="1"/>
  <c r="AK85" i="1"/>
  <c r="V23" i="78"/>
  <c r="J119" i="1"/>
  <c r="J11" i="115"/>
  <c r="L110" i="1"/>
  <c r="M92" i="1"/>
  <c r="AH93" i="1"/>
  <c r="AI83" i="1"/>
  <c r="S90" i="1"/>
  <c r="T75" i="1"/>
  <c r="M115" i="1"/>
  <c r="M118" i="1"/>
  <c r="M12" i="115"/>
  <c r="N95" i="1"/>
  <c r="N105" i="1"/>
  <c r="O91" i="1"/>
  <c r="AH98" i="1"/>
  <c r="AI88" i="1"/>
  <c r="AK88" i="1"/>
  <c r="K111" i="1"/>
  <c r="K113" i="1"/>
  <c r="AH97" i="1"/>
  <c r="AI87" i="1"/>
  <c r="AK87" i="1"/>
  <c r="AK86" i="1"/>
  <c r="M106" i="1"/>
  <c r="M108" i="1"/>
  <c r="M10" i="115"/>
  <c r="K119" i="1"/>
  <c r="K11" i="115"/>
  <c r="O105" i="1"/>
  <c r="P91" i="1"/>
  <c r="N106" i="1"/>
  <c r="N108" i="1"/>
  <c r="N10" i="115"/>
  <c r="M110" i="1"/>
  <c r="N92" i="1"/>
  <c r="N115" i="1"/>
  <c r="N118" i="1"/>
  <c r="N12" i="115"/>
  <c r="O95" i="1"/>
  <c r="L111" i="1"/>
  <c r="L113" i="1"/>
  <c r="T90" i="1"/>
  <c r="U75" i="1"/>
  <c r="L119" i="1"/>
  <c r="L11" i="115"/>
  <c r="N110" i="1"/>
  <c r="O92" i="1"/>
  <c r="U90" i="1"/>
  <c r="V75" i="1"/>
  <c r="P105" i="1"/>
  <c r="Q91" i="1"/>
  <c r="O106" i="1"/>
  <c r="O108" i="1"/>
  <c r="O10" i="115"/>
  <c r="M111" i="1"/>
  <c r="M113" i="1"/>
  <c r="O115" i="1"/>
  <c r="O118" i="1"/>
  <c r="O12" i="115"/>
  <c r="P95" i="1"/>
  <c r="M119" i="1"/>
  <c r="M11" i="115"/>
  <c r="W75" i="1"/>
  <c r="V90" i="1"/>
  <c r="N111" i="1"/>
  <c r="N113" i="1"/>
  <c r="O110" i="1"/>
  <c r="P92" i="1"/>
  <c r="P115" i="1"/>
  <c r="P118" i="1"/>
  <c r="P12" i="115"/>
  <c r="Q95" i="1"/>
  <c r="Q105" i="1"/>
  <c r="R91" i="1"/>
  <c r="P106" i="1"/>
  <c r="P108" i="1"/>
  <c r="P10" i="115"/>
  <c r="N119" i="1"/>
  <c r="N11" i="115"/>
  <c r="Q106" i="1"/>
  <c r="Q108" i="1"/>
  <c r="Q10" i="115"/>
  <c r="Q115" i="1"/>
  <c r="R95" i="1"/>
  <c r="W90" i="1"/>
  <c r="X75" i="1"/>
  <c r="P110" i="1"/>
  <c r="Q92" i="1"/>
  <c r="R105" i="1"/>
  <c r="S91" i="1"/>
  <c r="O111" i="1"/>
  <c r="O113" i="1"/>
  <c r="O119" i="1"/>
  <c r="O11" i="115"/>
  <c r="X90" i="1"/>
  <c r="Y75" i="1"/>
  <c r="R115" i="1"/>
  <c r="R118" i="1"/>
  <c r="R12" i="115"/>
  <c r="S95" i="1"/>
  <c r="Q120" i="1"/>
  <c r="Q118" i="1"/>
  <c r="Q12" i="115"/>
  <c r="S105" i="1"/>
  <c r="T91" i="1"/>
  <c r="P111" i="1"/>
  <c r="P113" i="1"/>
  <c r="R106" i="1"/>
  <c r="R108" i="1"/>
  <c r="R10" i="115"/>
  <c r="Q110" i="1"/>
  <c r="R92" i="1"/>
  <c r="P119" i="1"/>
  <c r="P11" i="115"/>
  <c r="S115" i="1"/>
  <c r="S118" i="1"/>
  <c r="S12" i="115"/>
  <c r="T95" i="1"/>
  <c r="T105" i="1"/>
  <c r="U91" i="1"/>
  <c r="R110" i="1"/>
  <c r="S92" i="1"/>
  <c r="Q111" i="1"/>
  <c r="Q113" i="1"/>
  <c r="Y90" i="1"/>
  <c r="Z75" i="1"/>
  <c r="S106" i="1"/>
  <c r="S108" i="1"/>
  <c r="S10" i="115"/>
  <c r="Q119" i="1"/>
  <c r="Q11" i="115"/>
  <c r="T115" i="1"/>
  <c r="T118" i="1"/>
  <c r="T12" i="115"/>
  <c r="U95" i="1"/>
  <c r="Z90" i="1"/>
  <c r="AA75" i="1"/>
  <c r="S110" i="1"/>
  <c r="T92" i="1"/>
  <c r="T106" i="1"/>
  <c r="T108" i="1"/>
  <c r="T10" i="115"/>
  <c r="R111" i="1"/>
  <c r="R113" i="1"/>
  <c r="U105" i="1"/>
  <c r="V91" i="1"/>
  <c r="R119" i="1"/>
  <c r="R11" i="115"/>
  <c r="S111" i="1"/>
  <c r="S113" i="1"/>
  <c r="AA90" i="1"/>
  <c r="AB75" i="1"/>
  <c r="U115" i="1"/>
  <c r="U118" i="1"/>
  <c r="U12" i="115"/>
  <c r="V95" i="1"/>
  <c r="T110" i="1"/>
  <c r="U92" i="1"/>
  <c r="V105" i="1"/>
  <c r="W91" i="1"/>
  <c r="U106" i="1"/>
  <c r="U108" i="1"/>
  <c r="U10" i="115"/>
  <c r="S119" i="1"/>
  <c r="S11" i="115"/>
  <c r="V115" i="1"/>
  <c r="V118" i="1"/>
  <c r="V12" i="115"/>
  <c r="W95" i="1"/>
  <c r="AB90" i="1"/>
  <c r="AC75" i="1"/>
  <c r="W105" i="1"/>
  <c r="X91" i="1"/>
  <c r="V106" i="1"/>
  <c r="V108" i="1"/>
  <c r="V10" i="115"/>
  <c r="U110" i="1"/>
  <c r="V92" i="1"/>
  <c r="T111" i="1"/>
  <c r="T113" i="1"/>
  <c r="T119" i="1"/>
  <c r="T11" i="115"/>
  <c r="X105" i="1"/>
  <c r="Y91" i="1"/>
  <c r="W106" i="1"/>
  <c r="W108" i="1"/>
  <c r="W10" i="115"/>
  <c r="U111" i="1"/>
  <c r="U113" i="1"/>
  <c r="V110" i="1"/>
  <c r="W92" i="1"/>
  <c r="AC90" i="1"/>
  <c r="AD75" i="1"/>
  <c r="W115" i="1"/>
  <c r="W118" i="1"/>
  <c r="W12" i="115"/>
  <c r="X95" i="1"/>
  <c r="U119" i="1"/>
  <c r="U11" i="115"/>
  <c r="V111" i="1"/>
  <c r="V113" i="1"/>
  <c r="X115" i="1"/>
  <c r="X118" i="1"/>
  <c r="X12" i="115"/>
  <c r="Y95" i="1"/>
  <c r="AE75" i="1"/>
  <c r="AD90" i="1"/>
  <c r="Y105" i="1"/>
  <c r="Z91" i="1"/>
  <c r="X106" i="1"/>
  <c r="X108" i="1"/>
  <c r="X10" i="115"/>
  <c r="W110" i="1"/>
  <c r="X92" i="1"/>
  <c r="V119" i="1"/>
  <c r="V11" i="115"/>
  <c r="AE90" i="1"/>
  <c r="AF75" i="1"/>
  <c r="W111" i="1"/>
  <c r="W113" i="1"/>
  <c r="Y115" i="1"/>
  <c r="Y118" i="1"/>
  <c r="Z95" i="1"/>
  <c r="Z105" i="1"/>
  <c r="AA91" i="1"/>
  <c r="Y106" i="1"/>
  <c r="Y108" i="1"/>
  <c r="X110" i="1"/>
  <c r="Y92" i="1"/>
  <c r="W119" i="1"/>
  <c r="W11" i="115"/>
  <c r="Z106" i="1"/>
  <c r="Z108" i="1"/>
  <c r="X111" i="1"/>
  <c r="X113" i="1"/>
  <c r="Z115" i="1"/>
  <c r="Z118" i="1"/>
  <c r="AA95" i="1"/>
  <c r="AF90" i="1"/>
  <c r="AG75" i="1"/>
  <c r="Y110" i="1"/>
  <c r="Z92" i="1"/>
  <c r="AA105" i="1"/>
  <c r="AB91" i="1"/>
  <c r="X119" i="1"/>
  <c r="X11" i="115"/>
  <c r="AA115" i="1"/>
  <c r="AA118" i="1"/>
  <c r="AB95" i="1"/>
  <c r="AA106" i="1"/>
  <c r="AA108" i="1"/>
  <c r="Z110" i="1"/>
  <c r="AA92" i="1"/>
  <c r="Y111" i="1"/>
  <c r="Y113" i="1"/>
  <c r="Y119" i="1"/>
  <c r="AG90" i="1"/>
  <c r="AH75" i="1"/>
  <c r="AH90" i="1"/>
  <c r="AB105" i="1"/>
  <c r="AC91" i="1"/>
  <c r="AB115" i="1"/>
  <c r="AB118" i="1"/>
  <c r="AC95" i="1"/>
  <c r="AC105" i="1"/>
  <c r="AD91" i="1"/>
  <c r="AA110" i="1"/>
  <c r="AB92" i="1"/>
  <c r="AB106" i="1"/>
  <c r="AB108" i="1"/>
  <c r="Z111" i="1"/>
  <c r="Z113" i="1"/>
  <c r="Z119" i="1"/>
  <c r="AD105" i="1"/>
  <c r="AE91" i="1"/>
  <c r="AC106" i="1"/>
  <c r="AC108" i="1"/>
  <c r="AA111" i="1"/>
  <c r="AA113" i="1"/>
  <c r="AA119" i="1"/>
  <c r="AC115" i="1"/>
  <c r="AC118" i="1"/>
  <c r="AD95" i="1"/>
  <c r="AB110" i="1"/>
  <c r="AC92" i="1"/>
  <c r="AE105" i="1"/>
  <c r="AF91" i="1"/>
  <c r="AC110" i="1"/>
  <c r="AD92" i="1"/>
  <c r="AB111" i="1"/>
  <c r="AB113" i="1"/>
  <c r="AD115" i="1"/>
  <c r="AD118" i="1"/>
  <c r="AE95" i="1"/>
  <c r="AD106" i="1"/>
  <c r="AD108" i="1"/>
  <c r="AB119" i="1"/>
  <c r="AC111" i="1"/>
  <c r="AC113" i="1"/>
  <c r="AD110" i="1"/>
  <c r="AE92" i="1"/>
  <c r="AE115" i="1"/>
  <c r="AE118" i="1"/>
  <c r="AF95" i="1"/>
  <c r="AF105" i="1"/>
  <c r="AG91" i="1"/>
  <c r="AE106" i="1"/>
  <c r="AE108" i="1"/>
  <c r="AC119" i="1"/>
  <c r="AD111" i="1"/>
  <c r="AD113" i="1"/>
  <c r="AF115" i="1"/>
  <c r="AF118" i="1"/>
  <c r="AG95" i="1"/>
  <c r="AG105" i="1"/>
  <c r="AH91" i="1"/>
  <c r="AH105" i="1"/>
  <c r="AF106" i="1"/>
  <c r="AF108" i="1"/>
  <c r="AE110" i="1"/>
  <c r="AF92" i="1"/>
  <c r="AD119" i="1"/>
  <c r="AF110" i="1"/>
  <c r="AG92" i="1"/>
  <c r="AE111" i="1"/>
  <c r="AE113" i="1"/>
  <c r="AH106" i="1"/>
  <c r="AH108" i="1"/>
  <c r="AG115" i="1"/>
  <c r="AG118" i="1"/>
  <c r="AH95" i="1"/>
  <c r="AH115" i="1"/>
  <c r="AH118" i="1"/>
  <c r="AG106" i="1"/>
  <c r="AG108" i="1"/>
  <c r="AE119" i="1"/>
  <c r="AG110" i="1"/>
  <c r="AH92" i="1"/>
  <c r="AH110" i="1"/>
  <c r="AF111" i="1"/>
  <c r="AF113" i="1"/>
  <c r="AF119" i="1"/>
  <c r="AG111" i="1"/>
  <c r="AG113" i="1"/>
  <c r="AH111" i="1"/>
  <c r="AH113" i="1"/>
  <c r="AG119" i="1"/>
  <c r="AH119" i="1"/>
  <c r="V13" i="115"/>
  <c r="U13" i="115"/>
  <c r="T13" i="115"/>
  <c r="X13" i="115"/>
  <c r="S13" i="115"/>
  <c r="W13" i="115"/>
  <c r="S256" i="106"/>
  <c r="I259" i="106"/>
  <c r="B259" i="106"/>
  <c r="I257" i="106"/>
  <c r="Q68" i="106"/>
  <c r="L195" i="106"/>
  <c r="N195" i="106"/>
  <c r="L194" i="106"/>
  <c r="N194" i="106"/>
  <c r="L216" i="106"/>
  <c r="L193" i="106"/>
  <c r="N193" i="106"/>
  <c r="L192" i="106"/>
  <c r="N192" i="106"/>
  <c r="R214" i="106"/>
  <c r="R215" i="106"/>
  <c r="R216" i="106"/>
  <c r="R217" i="106"/>
  <c r="R218" i="106"/>
  <c r="R219" i="106"/>
  <c r="R220" i="106"/>
  <c r="Q214" i="106"/>
  <c r="Q215" i="106"/>
  <c r="Q216" i="106"/>
  <c r="Q217" i="106"/>
  <c r="Q218" i="106"/>
  <c r="Q219" i="106"/>
  <c r="Q220" i="106"/>
  <c r="I214" i="106"/>
  <c r="I215" i="106"/>
  <c r="I216" i="106"/>
  <c r="I217" i="106"/>
  <c r="I218" i="106"/>
  <c r="I219" i="106"/>
  <c r="I203" i="106"/>
  <c r="I204" i="106"/>
  <c r="I205" i="106"/>
  <c r="I206" i="106"/>
  <c r="I207" i="106"/>
  <c r="I208" i="106"/>
  <c r="I209" i="106"/>
  <c r="I210" i="106"/>
  <c r="I211" i="106"/>
  <c r="I212" i="106"/>
  <c r="K250" i="106"/>
  <c r="J250" i="106"/>
  <c r="I137" i="106"/>
  <c r="I138" i="106"/>
  <c r="I139" i="106"/>
  <c r="I140" i="106"/>
  <c r="I141" i="106"/>
  <c r="I142" i="106"/>
  <c r="I143" i="106"/>
  <c r="I144" i="106"/>
  <c r="I145" i="106"/>
  <c r="I146" i="106"/>
  <c r="I147" i="106"/>
  <c r="I148" i="106"/>
  <c r="I149" i="106"/>
  <c r="I150" i="106"/>
  <c r="I151" i="106"/>
  <c r="I152" i="106"/>
  <c r="I153" i="106"/>
  <c r="I154" i="106"/>
  <c r="I155" i="106"/>
  <c r="I156" i="106"/>
  <c r="I157" i="106"/>
  <c r="I158" i="106"/>
  <c r="I159" i="106"/>
  <c r="I160" i="106"/>
  <c r="I161" i="106"/>
  <c r="I162" i="106"/>
  <c r="I163" i="106"/>
  <c r="I164" i="106"/>
  <c r="I165" i="106"/>
  <c r="I166" i="106"/>
  <c r="I167" i="106"/>
  <c r="I168" i="106"/>
  <c r="I169" i="106"/>
  <c r="L254" i="106"/>
  <c r="I250" i="106"/>
  <c r="I255" i="106"/>
  <c r="I260" i="106"/>
  <c r="L86" i="106"/>
  <c r="N86" i="106"/>
  <c r="L42" i="106"/>
  <c r="N42" i="106"/>
  <c r="L143" i="106"/>
  <c r="N143" i="106"/>
  <c r="L185" i="106"/>
  <c r="N185" i="106"/>
  <c r="L151" i="106"/>
  <c r="N151" i="106"/>
  <c r="L205" i="106"/>
  <c r="N205" i="106"/>
  <c r="L41" i="106"/>
  <c r="N41" i="106"/>
  <c r="L141" i="106"/>
  <c r="N141" i="106"/>
  <c r="L153" i="106"/>
  <c r="N153" i="106"/>
  <c r="L170" i="106"/>
  <c r="N170" i="106"/>
  <c r="L165" i="106"/>
  <c r="N165" i="106"/>
  <c r="L18" i="106"/>
  <c r="N18" i="106"/>
  <c r="L40" i="106"/>
  <c r="N40" i="106"/>
  <c r="L232" i="106"/>
  <c r="N232" i="106"/>
  <c r="L172" i="106"/>
  <c r="N172" i="106"/>
  <c r="L76" i="106"/>
  <c r="N76" i="106"/>
  <c r="L124" i="106"/>
  <c r="N124" i="106"/>
  <c r="L17" i="106"/>
  <c r="N17" i="106"/>
  <c r="L107" i="106"/>
  <c r="N107" i="106"/>
  <c r="L228" i="106"/>
  <c r="N228" i="106"/>
  <c r="L48" i="106"/>
  <c r="N48" i="106"/>
  <c r="L138" i="106"/>
  <c r="N138" i="106"/>
  <c r="L243" i="106"/>
  <c r="N243" i="106"/>
  <c r="L188" i="106"/>
  <c r="N188" i="106"/>
  <c r="L117" i="106"/>
  <c r="N117" i="106"/>
  <c r="L63" i="106"/>
  <c r="N63" i="106"/>
  <c r="L156" i="106"/>
  <c r="N156" i="106"/>
  <c r="N216" i="106"/>
  <c r="L116" i="106"/>
  <c r="N116" i="106"/>
  <c r="L59" i="106"/>
  <c r="N59" i="106"/>
  <c r="L24" i="106"/>
  <c r="N24" i="106"/>
  <c r="L78" i="106"/>
  <c r="N78" i="106"/>
  <c r="L230" i="106"/>
  <c r="N230" i="106"/>
  <c r="L27" i="106"/>
  <c r="N27" i="106"/>
  <c r="L77" i="106"/>
  <c r="N77" i="106"/>
  <c r="L234" i="106"/>
  <c r="N234" i="106"/>
  <c r="L7" i="106"/>
  <c r="N7" i="106"/>
  <c r="L174" i="106"/>
  <c r="N174" i="106"/>
  <c r="L99" i="106"/>
  <c r="N99" i="106"/>
  <c r="L129" i="106"/>
  <c r="N129" i="106"/>
  <c r="L68" i="106"/>
  <c r="N68" i="106"/>
  <c r="L150" i="106"/>
  <c r="N150" i="106"/>
  <c r="L161" i="106"/>
  <c r="N161" i="106"/>
  <c r="L30" i="106"/>
  <c r="N30" i="106"/>
  <c r="L38" i="106"/>
  <c r="N38" i="106"/>
  <c r="L52" i="106"/>
  <c r="N52" i="106"/>
  <c r="L58" i="106"/>
  <c r="N58" i="106"/>
  <c r="L206" i="106"/>
  <c r="N206" i="106"/>
  <c r="L88" i="106"/>
  <c r="N88" i="106"/>
  <c r="L120" i="106"/>
  <c r="N120" i="106"/>
  <c r="L204" i="106"/>
  <c r="N204" i="106"/>
  <c r="L139" i="106"/>
  <c r="N139" i="106"/>
  <c r="L237" i="106"/>
  <c r="N237" i="106"/>
  <c r="L56" i="106"/>
  <c r="N56" i="106"/>
  <c r="L142" i="106"/>
  <c r="N142" i="106"/>
  <c r="L229" i="106"/>
  <c r="N229" i="106"/>
  <c r="L196" i="106"/>
  <c r="N196" i="106"/>
  <c r="L74" i="106"/>
  <c r="N74" i="106"/>
  <c r="L91" i="106"/>
  <c r="N91" i="106"/>
  <c r="L8" i="106"/>
  <c r="N8" i="106"/>
  <c r="L118" i="106"/>
  <c r="N118" i="106"/>
  <c r="L11" i="106"/>
  <c r="N11" i="106"/>
  <c r="L154" i="106"/>
  <c r="N154" i="106"/>
  <c r="L121" i="106"/>
  <c r="N121" i="106"/>
  <c r="L176" i="106"/>
  <c r="N176" i="106"/>
  <c r="L199" i="106"/>
  <c r="N199" i="106"/>
  <c r="L32" i="106"/>
  <c r="N32" i="106"/>
  <c r="L35" i="106"/>
  <c r="N35" i="106"/>
  <c r="L9" i="106"/>
  <c r="N9" i="106"/>
  <c r="L220" i="106"/>
  <c r="N220" i="106"/>
  <c r="L175" i="106"/>
  <c r="N175" i="106"/>
  <c r="L109" i="106"/>
  <c r="N109" i="106"/>
  <c r="L25" i="106"/>
  <c r="N25" i="106"/>
  <c r="L140" i="106"/>
  <c r="N140" i="106"/>
  <c r="L209" i="106"/>
  <c r="N209" i="106"/>
  <c r="L173" i="106"/>
  <c r="N173" i="106"/>
  <c r="L198" i="106"/>
  <c r="N198" i="106"/>
  <c r="L66" i="106"/>
  <c r="N66" i="106"/>
  <c r="L167" i="106"/>
  <c r="N167" i="106"/>
  <c r="L127" i="106"/>
  <c r="N127" i="106"/>
  <c r="L85" i="106"/>
  <c r="N85" i="106"/>
  <c r="L49" i="106"/>
  <c r="N49" i="106"/>
  <c r="L69" i="106"/>
  <c r="N69" i="106"/>
  <c r="L90" i="106"/>
  <c r="N90" i="106"/>
  <c r="L47" i="106"/>
  <c r="N47" i="106"/>
  <c r="L33" i="106"/>
  <c r="N33" i="106"/>
  <c r="L239" i="106"/>
  <c r="N239" i="106"/>
  <c r="L190" i="106"/>
  <c r="N190" i="106"/>
  <c r="L233" i="106"/>
  <c r="N233" i="106"/>
  <c r="L241" i="106"/>
  <c r="N241" i="106"/>
  <c r="L6" i="106"/>
  <c r="N6" i="106"/>
  <c r="L82" i="106"/>
  <c r="N82" i="106"/>
  <c r="L65" i="106"/>
  <c r="N65" i="106"/>
  <c r="L100" i="106"/>
  <c r="N100" i="106"/>
  <c r="L98" i="106"/>
  <c r="N98" i="106"/>
  <c r="L114" i="106"/>
  <c r="N114" i="106"/>
  <c r="L130" i="106"/>
  <c r="N130" i="106"/>
  <c r="L125" i="106"/>
  <c r="N125" i="106"/>
  <c r="L224" i="106"/>
  <c r="N224" i="106"/>
  <c r="L200" i="106"/>
  <c r="N200" i="106"/>
  <c r="L157" i="106"/>
  <c r="N157" i="106"/>
  <c r="L29" i="106"/>
  <c r="N29" i="106"/>
  <c r="L168" i="106"/>
  <c r="N168" i="106"/>
  <c r="L112" i="106"/>
  <c r="N112" i="106"/>
  <c r="L179" i="106"/>
  <c r="N179" i="106"/>
  <c r="L97" i="106"/>
  <c r="N97" i="106"/>
  <c r="L37" i="106"/>
  <c r="N37" i="106"/>
  <c r="L93" i="106"/>
  <c r="N93" i="106"/>
  <c r="L197" i="106"/>
  <c r="N197" i="106"/>
  <c r="L242" i="106"/>
  <c r="N242" i="106"/>
  <c r="L102" i="106"/>
  <c r="N102" i="106"/>
  <c r="L227" i="106"/>
  <c r="N227" i="106"/>
  <c r="L123" i="106"/>
  <c r="N123" i="106"/>
  <c r="L215" i="106"/>
  <c r="N215" i="106"/>
  <c r="L171" i="106"/>
  <c r="N171" i="106"/>
  <c r="L108" i="106"/>
  <c r="N108" i="106"/>
  <c r="L163" i="106"/>
  <c r="N163" i="106"/>
  <c r="L96" i="106"/>
  <c r="N96" i="106"/>
  <c r="L89" i="106"/>
  <c r="N89" i="106"/>
  <c r="L45" i="106"/>
  <c r="N45" i="106"/>
  <c r="L236" i="106"/>
  <c r="N236" i="106"/>
  <c r="L231" i="106"/>
  <c r="N231" i="106"/>
  <c r="L36" i="106"/>
  <c r="N36" i="106"/>
  <c r="L207" i="106"/>
  <c r="N207" i="106"/>
  <c r="L34" i="106"/>
  <c r="N34" i="106"/>
  <c r="L208" i="106"/>
  <c r="N208" i="106"/>
  <c r="L162" i="106"/>
  <c r="N162" i="106"/>
  <c r="L81" i="106"/>
  <c r="N81" i="106"/>
  <c r="L92" i="106"/>
  <c r="N92" i="106"/>
  <c r="L166" i="106"/>
  <c r="N166" i="106"/>
  <c r="L189" i="106"/>
  <c r="N189" i="106"/>
  <c r="L212" i="106"/>
  <c r="N212" i="106"/>
  <c r="L147" i="106"/>
  <c r="N147" i="106"/>
  <c r="L240" i="106"/>
  <c r="N240" i="106"/>
  <c r="L134" i="106"/>
  <c r="N134" i="106"/>
  <c r="L72" i="106"/>
  <c r="N72" i="106"/>
  <c r="L128" i="106"/>
  <c r="N128" i="106"/>
  <c r="L137" i="106"/>
  <c r="N137" i="106"/>
  <c r="L149" i="106"/>
  <c r="N149" i="106"/>
  <c r="L146" i="106"/>
  <c r="N146" i="106"/>
  <c r="L181" i="106"/>
  <c r="N181" i="106"/>
  <c r="L53" i="106"/>
  <c r="N53" i="106"/>
  <c r="L186" i="106"/>
  <c r="N186" i="106"/>
  <c r="L103" i="106"/>
  <c r="N103" i="106"/>
  <c r="L158" i="106"/>
  <c r="N158" i="106"/>
  <c r="L126" i="106"/>
  <c r="N126" i="106"/>
  <c r="L13" i="106"/>
  <c r="N13" i="106"/>
  <c r="L105" i="106"/>
  <c r="N105" i="106"/>
  <c r="L15" i="106"/>
  <c r="N15" i="106"/>
  <c r="L164" i="106"/>
  <c r="N164" i="106"/>
  <c r="L104" i="106"/>
  <c r="N104" i="106"/>
  <c r="L43" i="106"/>
  <c r="N43" i="106"/>
  <c r="L75" i="106"/>
  <c r="N75" i="106"/>
  <c r="L28" i="106"/>
  <c r="N28" i="106"/>
  <c r="L115" i="106"/>
  <c r="N115" i="106"/>
  <c r="L235" i="106"/>
  <c r="N235" i="106"/>
  <c r="L219" i="106"/>
  <c r="N219" i="106"/>
  <c r="L218" i="106"/>
  <c r="N218" i="106"/>
  <c r="L55" i="106"/>
  <c r="N55" i="106"/>
  <c r="L16" i="106"/>
  <c r="N16" i="106"/>
  <c r="L210" i="106"/>
  <c r="N210" i="106"/>
  <c r="L83" i="106"/>
  <c r="N83" i="106"/>
  <c r="L106" i="106"/>
  <c r="N106" i="106"/>
  <c r="L238" i="106"/>
  <c r="N238" i="106"/>
  <c r="L184" i="106"/>
  <c r="N184" i="106"/>
  <c r="L84" i="106"/>
  <c r="N84" i="106"/>
  <c r="L248" i="106"/>
  <c r="N248" i="106"/>
  <c r="L62" i="106"/>
  <c r="N62" i="106"/>
  <c r="L131" i="106"/>
  <c r="N131" i="106"/>
  <c r="L26" i="106"/>
  <c r="N26" i="106"/>
  <c r="L223" i="106"/>
  <c r="N223" i="106"/>
  <c r="L203" i="106"/>
  <c r="N203" i="106"/>
  <c r="L152" i="106"/>
  <c r="N152" i="106"/>
  <c r="L148" i="106"/>
  <c r="N148" i="106"/>
  <c r="L122" i="106"/>
  <c r="N122" i="106"/>
  <c r="L50" i="106"/>
  <c r="N50" i="106"/>
  <c r="L12" i="106"/>
  <c r="N12" i="106"/>
  <c r="L64" i="106"/>
  <c r="N64" i="106"/>
  <c r="L110" i="106"/>
  <c r="N110" i="106"/>
  <c r="L94" i="106"/>
  <c r="N94" i="106"/>
  <c r="L46" i="106"/>
  <c r="N46" i="106"/>
  <c r="L225" i="106"/>
  <c r="N225" i="106"/>
  <c r="L132" i="106"/>
  <c r="N132" i="106"/>
  <c r="L73" i="106"/>
  <c r="N73" i="106"/>
  <c r="L44" i="106"/>
  <c r="N44" i="106"/>
  <c r="L222" i="106"/>
  <c r="N222" i="106"/>
  <c r="L10" i="106"/>
  <c r="N10" i="106"/>
  <c r="L145" i="106"/>
  <c r="N145" i="106"/>
  <c r="L202" i="106"/>
  <c r="N202" i="106"/>
  <c r="L214" i="106"/>
  <c r="N214" i="106"/>
  <c r="L217" i="106"/>
  <c r="N217" i="106"/>
  <c r="L51" i="106"/>
  <c r="N51" i="106"/>
  <c r="L22" i="106"/>
  <c r="N22" i="106"/>
  <c r="L70" i="106"/>
  <c r="N70" i="106"/>
  <c r="L23" i="106"/>
  <c r="N23" i="106"/>
  <c r="L101" i="106"/>
  <c r="N101" i="106"/>
  <c r="L133" i="106"/>
  <c r="N133" i="106"/>
  <c r="L31" i="106"/>
  <c r="N31" i="106"/>
  <c r="L221" i="106"/>
  <c r="N221" i="106"/>
  <c r="L71" i="106"/>
  <c r="N71" i="106"/>
  <c r="L79" i="106"/>
  <c r="N79" i="106"/>
  <c r="L80" i="106"/>
  <c r="N80" i="106"/>
  <c r="L14" i="106"/>
  <c r="N14" i="106"/>
  <c r="L144" i="106"/>
  <c r="N144" i="106"/>
  <c r="L67" i="106"/>
  <c r="N67" i="106"/>
  <c r="L169" i="106"/>
  <c r="N169" i="106"/>
  <c r="L160" i="106"/>
  <c r="N160" i="106"/>
  <c r="L187" i="106"/>
  <c r="N187" i="106"/>
  <c r="L177" i="106"/>
  <c r="N177" i="106"/>
  <c r="L183" i="106"/>
  <c r="N183" i="106"/>
  <c r="L111" i="106"/>
  <c r="N111" i="106"/>
  <c r="L21" i="106"/>
  <c r="N21" i="106"/>
  <c r="L95" i="106"/>
  <c r="N95" i="106"/>
  <c r="L211" i="106"/>
  <c r="N211" i="106"/>
  <c r="L19" i="106"/>
  <c r="N19" i="106"/>
  <c r="L201" i="106"/>
  <c r="N201" i="106"/>
  <c r="L155" i="106"/>
  <c r="N155" i="106"/>
  <c r="L87" i="106"/>
  <c r="N87" i="106"/>
  <c r="L136" i="106"/>
  <c r="N136" i="106"/>
  <c r="L178" i="106"/>
  <c r="N178" i="106"/>
  <c r="L20" i="106"/>
  <c r="N20" i="106"/>
  <c r="L159" i="106"/>
  <c r="N159" i="106"/>
  <c r="L113" i="106"/>
  <c r="N113" i="106"/>
  <c r="L39" i="106"/>
  <c r="N39" i="106"/>
  <c r="L135" i="106"/>
  <c r="N135" i="106"/>
  <c r="L60" i="106"/>
  <c r="N60" i="106"/>
  <c r="L226" i="106"/>
  <c r="N226" i="106"/>
  <c r="L119" i="106"/>
  <c r="N119" i="106"/>
  <c r="L54" i="106"/>
  <c r="N54" i="106"/>
  <c r="L213" i="106"/>
  <c r="N213" i="106"/>
  <c r="L61" i="106"/>
  <c r="N61" i="106"/>
  <c r="C8" i="1"/>
  <c r="N250" i="106"/>
  <c r="L250" i="106"/>
  <c r="B19" i="33"/>
  <c r="B20" i="33"/>
  <c r="B18" i="33"/>
  <c r="B8" i="33"/>
  <c r="B9" i="33"/>
  <c r="B10" i="33"/>
  <c r="B11" i="33"/>
  <c r="B12" i="33"/>
  <c r="B13" i="33"/>
  <c r="B14" i="33"/>
  <c r="B7" i="33"/>
  <c r="D28" i="108"/>
  <c r="E14" i="115"/>
  <c r="E15" i="115"/>
  <c r="B9" i="109"/>
  <c r="B10" i="109"/>
  <c r="B11" i="109"/>
  <c r="B8" i="109"/>
  <c r="B7" i="109"/>
  <c r="B6" i="109"/>
  <c r="D26" i="78"/>
  <c r="J17" i="78"/>
  <c r="I17" i="78"/>
  <c r="H17" i="78"/>
  <c r="G17" i="78"/>
  <c r="E26" i="78"/>
  <c r="D29" i="78"/>
  <c r="D15" i="78"/>
  <c r="D14" i="78"/>
  <c r="D13" i="78"/>
  <c r="C14" i="104"/>
  <c r="C15" i="104"/>
  <c r="C16" i="104"/>
  <c r="C17" i="104"/>
  <c r="C18" i="104"/>
  <c r="C19" i="104"/>
  <c r="C20" i="104"/>
  <c r="B27" i="104"/>
  <c r="C13" i="104"/>
  <c r="F26" i="78"/>
  <c r="E29" i="78"/>
  <c r="G26" i="78"/>
  <c r="F29" i="78"/>
  <c r="A3" i="118"/>
  <c r="A4" i="118"/>
  <c r="A5" i="118"/>
  <c r="A6" i="118"/>
  <c r="A7" i="118"/>
  <c r="A8" i="118"/>
  <c r="A9" i="118"/>
  <c r="A10" i="118"/>
  <c r="A11" i="118"/>
  <c r="A12" i="118"/>
  <c r="A13" i="118"/>
  <c r="A14" i="118"/>
  <c r="A15" i="118"/>
  <c r="A16" i="118"/>
  <c r="A17" i="118"/>
  <c r="A18" i="118"/>
  <c r="A19" i="118"/>
  <c r="A20" i="118"/>
  <c r="A21" i="118"/>
  <c r="A22" i="118"/>
  <c r="A23" i="118"/>
  <c r="A24" i="118"/>
  <c r="A25" i="118"/>
  <c r="A26" i="118"/>
  <c r="H26" i="78"/>
  <c r="G29" i="78"/>
  <c r="D53" i="115"/>
  <c r="F38" i="115"/>
  <c r="G38" i="115"/>
  <c r="H38" i="115"/>
  <c r="I38" i="115"/>
  <c r="J38" i="115"/>
  <c r="K38" i="115"/>
  <c r="L38" i="115"/>
  <c r="M38" i="115"/>
  <c r="N38" i="115"/>
  <c r="O38" i="115"/>
  <c r="P38" i="115"/>
  <c r="Q38" i="115"/>
  <c r="R38" i="115"/>
  <c r="S38" i="115"/>
  <c r="T38" i="115"/>
  <c r="U38" i="115"/>
  <c r="V38" i="115"/>
  <c r="W38" i="115"/>
  <c r="X38" i="115"/>
  <c r="B38" i="115"/>
  <c r="B47" i="115"/>
  <c r="B62" i="115"/>
  <c r="B20" i="104"/>
  <c r="B33" i="104"/>
  <c r="B44" i="104"/>
  <c r="F37" i="115"/>
  <c r="G37" i="115"/>
  <c r="H37" i="115"/>
  <c r="I37" i="115"/>
  <c r="J37" i="115"/>
  <c r="K37" i="115"/>
  <c r="L37" i="115"/>
  <c r="M37" i="115"/>
  <c r="N37" i="115"/>
  <c r="O37" i="115"/>
  <c r="P37" i="115"/>
  <c r="Q37" i="115"/>
  <c r="R37" i="115"/>
  <c r="S37" i="115"/>
  <c r="T37" i="115"/>
  <c r="U37" i="115"/>
  <c r="V37" i="115"/>
  <c r="W37" i="115"/>
  <c r="X37" i="115"/>
  <c r="B37" i="115"/>
  <c r="B46" i="115"/>
  <c r="B61" i="115"/>
  <c r="B19" i="104"/>
  <c r="B32" i="104"/>
  <c r="B43" i="104"/>
  <c r="B53" i="104"/>
  <c r="F36" i="115"/>
  <c r="G36" i="115"/>
  <c r="H36" i="115"/>
  <c r="I36" i="115"/>
  <c r="J36" i="115"/>
  <c r="K36" i="115"/>
  <c r="L36" i="115"/>
  <c r="M36" i="115"/>
  <c r="N36" i="115"/>
  <c r="O36" i="115"/>
  <c r="P36" i="115"/>
  <c r="Q36" i="115"/>
  <c r="R36" i="115"/>
  <c r="S36" i="115"/>
  <c r="T36" i="115"/>
  <c r="U36" i="115"/>
  <c r="V36" i="115"/>
  <c r="W36" i="115"/>
  <c r="X36" i="115"/>
  <c r="B36" i="115"/>
  <c r="B45" i="115"/>
  <c r="B60" i="115"/>
  <c r="B18" i="104"/>
  <c r="B31" i="104"/>
  <c r="F35" i="115"/>
  <c r="G35" i="115"/>
  <c r="H35" i="115"/>
  <c r="I35" i="115"/>
  <c r="J35" i="115"/>
  <c r="K35" i="115"/>
  <c r="L35" i="115"/>
  <c r="M35" i="115"/>
  <c r="N35" i="115"/>
  <c r="O35" i="115"/>
  <c r="P35" i="115"/>
  <c r="Q35" i="115"/>
  <c r="R35" i="115"/>
  <c r="S35" i="115"/>
  <c r="T35" i="115"/>
  <c r="U35" i="115"/>
  <c r="V35" i="115"/>
  <c r="W35" i="115"/>
  <c r="X35" i="115"/>
  <c r="F34" i="115"/>
  <c r="G34" i="115"/>
  <c r="H34" i="115"/>
  <c r="I34" i="115"/>
  <c r="J34" i="115"/>
  <c r="K34" i="115"/>
  <c r="L34" i="115"/>
  <c r="M34" i="115"/>
  <c r="N34" i="115"/>
  <c r="O34" i="115"/>
  <c r="P34" i="115"/>
  <c r="Q34" i="115"/>
  <c r="R34" i="115"/>
  <c r="S34" i="115"/>
  <c r="T34" i="115"/>
  <c r="U34" i="115"/>
  <c r="V34" i="115"/>
  <c r="W34" i="115"/>
  <c r="X34" i="115"/>
  <c r="B34" i="115"/>
  <c r="B43" i="115"/>
  <c r="B58" i="115"/>
  <c r="B16" i="104"/>
  <c r="B29" i="104"/>
  <c r="F33" i="115"/>
  <c r="G33" i="115"/>
  <c r="H33" i="115"/>
  <c r="I33" i="115"/>
  <c r="J33" i="115"/>
  <c r="K33" i="115"/>
  <c r="L33" i="115"/>
  <c r="M33" i="115"/>
  <c r="N33" i="115"/>
  <c r="O33" i="115"/>
  <c r="P33" i="115"/>
  <c r="Q33" i="115"/>
  <c r="R33" i="115"/>
  <c r="S33" i="115"/>
  <c r="T33" i="115"/>
  <c r="U33" i="115"/>
  <c r="V33" i="115"/>
  <c r="W33" i="115"/>
  <c r="X33" i="115"/>
  <c r="B33" i="115"/>
  <c r="B42" i="115"/>
  <c r="B57" i="115"/>
  <c r="B15" i="104"/>
  <c r="B28" i="104"/>
  <c r="F32" i="115"/>
  <c r="G32" i="115"/>
  <c r="H32" i="115"/>
  <c r="I32" i="115"/>
  <c r="J32" i="115"/>
  <c r="K32" i="115"/>
  <c r="L32" i="115"/>
  <c r="M32" i="115"/>
  <c r="N32" i="115"/>
  <c r="O32" i="115"/>
  <c r="P32" i="115"/>
  <c r="Q32" i="115"/>
  <c r="R32" i="115"/>
  <c r="S32" i="115"/>
  <c r="T32" i="115"/>
  <c r="U32" i="115"/>
  <c r="V32" i="115"/>
  <c r="W32" i="115"/>
  <c r="X32" i="115"/>
  <c r="F31" i="115"/>
  <c r="G31" i="115"/>
  <c r="H31" i="115"/>
  <c r="I31" i="115"/>
  <c r="J31" i="115"/>
  <c r="K31" i="115"/>
  <c r="L31" i="115"/>
  <c r="M31" i="115"/>
  <c r="N31" i="115"/>
  <c r="O31" i="115"/>
  <c r="P31" i="115"/>
  <c r="Q31" i="115"/>
  <c r="R31" i="115"/>
  <c r="S31" i="115"/>
  <c r="T31" i="115"/>
  <c r="U31" i="115"/>
  <c r="V31" i="115"/>
  <c r="W31" i="115"/>
  <c r="X31" i="115"/>
  <c r="B31" i="115"/>
  <c r="B40" i="115"/>
  <c r="B55" i="115"/>
  <c r="B13" i="104"/>
  <c r="B26" i="104"/>
  <c r="E29" i="115"/>
  <c r="D29" i="115"/>
  <c r="C26" i="115"/>
  <c r="B35" i="115"/>
  <c r="B44" i="115"/>
  <c r="B59" i="115"/>
  <c r="B17" i="104"/>
  <c r="B30" i="104"/>
  <c r="F15" i="115"/>
  <c r="G15" i="115"/>
  <c r="H15" i="115"/>
  <c r="I15" i="115"/>
  <c r="J15" i="115"/>
  <c r="K15" i="115"/>
  <c r="L15" i="115"/>
  <c r="M15" i="115"/>
  <c r="N15" i="115"/>
  <c r="O15" i="115"/>
  <c r="P15" i="115"/>
  <c r="Q15" i="115"/>
  <c r="R15" i="115"/>
  <c r="S15" i="115"/>
  <c r="T15" i="115"/>
  <c r="U15" i="115"/>
  <c r="V15" i="115"/>
  <c r="W15" i="115"/>
  <c r="X15" i="115"/>
  <c r="F14" i="115"/>
  <c r="G14" i="115"/>
  <c r="H14" i="115"/>
  <c r="I14" i="115"/>
  <c r="J14" i="115"/>
  <c r="K14" i="115"/>
  <c r="L14" i="115"/>
  <c r="M14" i="115"/>
  <c r="N14" i="115"/>
  <c r="O14" i="115"/>
  <c r="P14" i="115"/>
  <c r="Q14" i="115"/>
  <c r="R14" i="115"/>
  <c r="S14" i="115"/>
  <c r="D12" i="115"/>
  <c r="D11" i="115"/>
  <c r="D10" i="115"/>
  <c r="D13" i="115"/>
  <c r="F8" i="115"/>
  <c r="G8" i="115"/>
  <c r="H8" i="115"/>
  <c r="I8" i="115"/>
  <c r="J8" i="115"/>
  <c r="K8" i="115"/>
  <c r="L8" i="115"/>
  <c r="M8" i="115"/>
  <c r="N8" i="115"/>
  <c r="O8" i="115"/>
  <c r="P8" i="115"/>
  <c r="Q8" i="115"/>
  <c r="R8" i="115"/>
  <c r="S8" i="115"/>
  <c r="T8" i="115"/>
  <c r="U8" i="115"/>
  <c r="V8" i="115"/>
  <c r="W8" i="115"/>
  <c r="X8" i="115"/>
  <c r="F7" i="115"/>
  <c r="F29" i="115"/>
  <c r="G29" i="115"/>
  <c r="H29" i="115"/>
  <c r="I29" i="115"/>
  <c r="J29" i="115"/>
  <c r="K29" i="115"/>
  <c r="L29" i="115"/>
  <c r="M29" i="115"/>
  <c r="N29" i="115"/>
  <c r="O29" i="115"/>
  <c r="P29" i="115"/>
  <c r="Q29" i="115"/>
  <c r="R29" i="115"/>
  <c r="S29" i="115"/>
  <c r="T29" i="115"/>
  <c r="U29" i="115"/>
  <c r="V29" i="115"/>
  <c r="W29" i="115"/>
  <c r="X29" i="115"/>
  <c r="E6" i="115"/>
  <c r="E54" i="115"/>
  <c r="D6" i="115"/>
  <c r="B3" i="115"/>
  <c r="B2" i="115"/>
  <c r="B2" i="1"/>
  <c r="B1" i="115"/>
  <c r="B1" i="1"/>
  <c r="I26" i="78"/>
  <c r="H29" i="78"/>
  <c r="T14" i="115"/>
  <c r="S16" i="115"/>
  <c r="F6" i="115"/>
  <c r="F28" i="115"/>
  <c r="G28" i="115"/>
  <c r="H28" i="115"/>
  <c r="I28" i="115"/>
  <c r="J28" i="115"/>
  <c r="K28" i="115"/>
  <c r="L28" i="115"/>
  <c r="M28" i="115"/>
  <c r="N28" i="115"/>
  <c r="O28" i="115"/>
  <c r="P28" i="115"/>
  <c r="Q28" i="115"/>
  <c r="R28" i="115"/>
  <c r="S28" i="115"/>
  <c r="T28" i="115"/>
  <c r="U28" i="115"/>
  <c r="V28" i="115"/>
  <c r="W28" i="115"/>
  <c r="X28" i="115"/>
  <c r="D16" i="115"/>
  <c r="D20" i="115"/>
  <c r="G7" i="115"/>
  <c r="G6" i="115"/>
  <c r="D54" i="115"/>
  <c r="D28" i="115"/>
  <c r="D49" i="115"/>
  <c r="E28" i="115"/>
  <c r="E49" i="115"/>
  <c r="B25" i="33"/>
  <c r="J26" i="78"/>
  <c r="I29" i="78"/>
  <c r="D18" i="115"/>
  <c r="D26" i="115"/>
  <c r="D27" i="115"/>
  <c r="S22" i="115"/>
  <c r="S25" i="115"/>
  <c r="S47" i="115"/>
  <c r="S62" i="115"/>
  <c r="R33" i="104"/>
  <c r="S18" i="115"/>
  <c r="S20" i="115"/>
  <c r="S23" i="115"/>
  <c r="S45" i="115"/>
  <c r="S60" i="115"/>
  <c r="R31" i="104"/>
  <c r="S24" i="115"/>
  <c r="S21" i="115"/>
  <c r="S43" i="115"/>
  <c r="S58" i="115"/>
  <c r="R29" i="104"/>
  <c r="S19" i="115"/>
  <c r="F54" i="115"/>
  <c r="G54" i="115"/>
  <c r="H54" i="115"/>
  <c r="I54" i="115"/>
  <c r="J54" i="115"/>
  <c r="K54" i="115"/>
  <c r="L54" i="115"/>
  <c r="M54" i="115"/>
  <c r="N54" i="115"/>
  <c r="O54" i="115"/>
  <c r="P54" i="115"/>
  <c r="Q54" i="115"/>
  <c r="R54" i="115"/>
  <c r="S54" i="115"/>
  <c r="T54" i="115"/>
  <c r="U54" i="115"/>
  <c r="V54" i="115"/>
  <c r="W54" i="115"/>
  <c r="X54" i="115"/>
  <c r="U14" i="115"/>
  <c r="T16" i="115"/>
  <c r="D42" i="115"/>
  <c r="D57" i="115"/>
  <c r="D21" i="115"/>
  <c r="D40" i="115"/>
  <c r="D48" i="115"/>
  <c r="D44" i="115"/>
  <c r="D22" i="115"/>
  <c r="D46" i="115"/>
  <c r="D23" i="115"/>
  <c r="D24" i="115"/>
  <c r="D43" i="115"/>
  <c r="D25" i="115"/>
  <c r="D47" i="115"/>
  <c r="D45" i="115"/>
  <c r="F49" i="115"/>
  <c r="G49" i="115"/>
  <c r="H49" i="115"/>
  <c r="I49" i="115"/>
  <c r="J49" i="115"/>
  <c r="K49" i="115"/>
  <c r="L49" i="115"/>
  <c r="M49" i="115"/>
  <c r="N49" i="115"/>
  <c r="O49" i="115"/>
  <c r="P49" i="115"/>
  <c r="Q49" i="115"/>
  <c r="R49" i="115"/>
  <c r="S49" i="115"/>
  <c r="T49" i="115"/>
  <c r="U49" i="115"/>
  <c r="V49" i="115"/>
  <c r="W49" i="115"/>
  <c r="X49" i="115"/>
  <c r="B36" i="33"/>
  <c r="H7" i="115"/>
  <c r="I7" i="115"/>
  <c r="I6" i="115"/>
  <c r="K26" i="78"/>
  <c r="J29" i="78"/>
  <c r="D59" i="115"/>
  <c r="S46" i="115"/>
  <c r="S61" i="115"/>
  <c r="R32" i="104"/>
  <c r="S41" i="115"/>
  <c r="S56" i="115"/>
  <c r="R27" i="104"/>
  <c r="S42" i="115"/>
  <c r="S57" i="115"/>
  <c r="R28" i="104"/>
  <c r="D55" i="115"/>
  <c r="D63" i="115"/>
  <c r="T20" i="115"/>
  <c r="T42" i="115"/>
  <c r="T57" i="115"/>
  <c r="S28" i="104"/>
  <c r="T24" i="115"/>
  <c r="T46" i="115"/>
  <c r="T61" i="115"/>
  <c r="S32" i="104"/>
  <c r="T18" i="115"/>
  <c r="T19" i="115"/>
  <c r="T23" i="115"/>
  <c r="T25" i="115"/>
  <c r="T47" i="115"/>
  <c r="T62" i="115"/>
  <c r="S33" i="104"/>
  <c r="T21" i="115"/>
  <c r="T22" i="115"/>
  <c r="S26" i="115"/>
  <c r="S27" i="115"/>
  <c r="S40" i="115"/>
  <c r="S55" i="115"/>
  <c r="R26" i="104"/>
  <c r="D61" i="115"/>
  <c r="V14" i="115"/>
  <c r="U16" i="115"/>
  <c r="S44" i="115"/>
  <c r="S59" i="115"/>
  <c r="R30" i="104"/>
  <c r="D58" i="115"/>
  <c r="D62" i="115"/>
  <c r="D60" i="115"/>
  <c r="H6" i="115"/>
  <c r="J7" i="115"/>
  <c r="L26" i="78"/>
  <c r="K29" i="78"/>
  <c r="T44" i="115"/>
  <c r="T59" i="115"/>
  <c r="S30" i="104"/>
  <c r="W14" i="115"/>
  <c r="V16" i="115"/>
  <c r="T45" i="115"/>
  <c r="T60" i="115"/>
  <c r="S31" i="104"/>
  <c r="T41" i="115"/>
  <c r="T56" i="115"/>
  <c r="S27" i="104"/>
  <c r="T43" i="115"/>
  <c r="T58" i="115"/>
  <c r="S29" i="104"/>
  <c r="U18" i="115"/>
  <c r="U22" i="115"/>
  <c r="U19" i="115"/>
  <c r="U41" i="115"/>
  <c r="U56" i="115"/>
  <c r="T27" i="104"/>
  <c r="U21" i="115"/>
  <c r="U24" i="115"/>
  <c r="U46" i="115"/>
  <c r="U61" i="115"/>
  <c r="T32" i="104"/>
  <c r="U25" i="115"/>
  <c r="U20" i="115"/>
  <c r="U23" i="115"/>
  <c r="U45" i="115"/>
  <c r="U60" i="115"/>
  <c r="T31" i="104"/>
  <c r="S63" i="115"/>
  <c r="T26" i="115"/>
  <c r="T27" i="115"/>
  <c r="T40" i="115"/>
  <c r="T55" i="115"/>
  <c r="S26" i="104"/>
  <c r="S48" i="115"/>
  <c r="S51" i="115"/>
  <c r="J6" i="115"/>
  <c r="K7" i="115"/>
  <c r="M26" i="78"/>
  <c r="L29" i="78"/>
  <c r="U42" i="115"/>
  <c r="U57" i="115"/>
  <c r="T28" i="104"/>
  <c r="U47" i="115"/>
  <c r="U62" i="115"/>
  <c r="T33" i="104"/>
  <c r="S50" i="115"/>
  <c r="S52" i="115"/>
  <c r="U43" i="115"/>
  <c r="U58" i="115"/>
  <c r="T29" i="104"/>
  <c r="T63" i="115"/>
  <c r="T48" i="115"/>
  <c r="T51" i="115"/>
  <c r="V25" i="115"/>
  <c r="V47" i="115"/>
  <c r="V62" i="115"/>
  <c r="U33" i="104"/>
  <c r="V22" i="115"/>
  <c r="V44" i="115"/>
  <c r="V59" i="115"/>
  <c r="U30" i="104"/>
  <c r="V20" i="115"/>
  <c r="V24" i="115"/>
  <c r="V18" i="115"/>
  <c r="V19" i="115"/>
  <c r="V41" i="115"/>
  <c r="V56" i="115"/>
  <c r="U27" i="104"/>
  <c r="V23" i="115"/>
  <c r="V21" i="115"/>
  <c r="V43" i="115"/>
  <c r="V58" i="115"/>
  <c r="U29" i="104"/>
  <c r="X14" i="115"/>
  <c r="X16" i="115"/>
  <c r="W16" i="115"/>
  <c r="U44" i="115"/>
  <c r="U59" i="115"/>
  <c r="T30" i="104"/>
  <c r="U26" i="115"/>
  <c r="U27" i="115"/>
  <c r="U40" i="115"/>
  <c r="U55" i="115"/>
  <c r="T26" i="104"/>
  <c r="K6" i="115"/>
  <c r="L7" i="115"/>
  <c r="N26" i="78"/>
  <c r="M29" i="78"/>
  <c r="V46" i="115"/>
  <c r="V61" i="115"/>
  <c r="U32" i="104"/>
  <c r="V26" i="115"/>
  <c r="V27" i="115"/>
  <c r="V40" i="115"/>
  <c r="V55" i="115"/>
  <c r="U26" i="104"/>
  <c r="V42" i="115"/>
  <c r="V57" i="115"/>
  <c r="U28" i="104"/>
  <c r="W24" i="115"/>
  <c r="W18" i="115"/>
  <c r="W22" i="115"/>
  <c r="W44" i="115"/>
  <c r="W59" i="115"/>
  <c r="V30" i="104"/>
  <c r="W23" i="115"/>
  <c r="W21" i="115"/>
  <c r="W25" i="115"/>
  <c r="W20" i="115"/>
  <c r="W19" i="115"/>
  <c r="W41" i="115"/>
  <c r="W56" i="115"/>
  <c r="V27" i="104"/>
  <c r="T50" i="115"/>
  <c r="T52" i="115"/>
  <c r="S53" i="115"/>
  <c r="X24" i="115"/>
  <c r="X23" i="115"/>
  <c r="X45" i="115"/>
  <c r="X60" i="115"/>
  <c r="W31" i="104"/>
  <c r="X19" i="115"/>
  <c r="X41" i="115"/>
  <c r="X56" i="115"/>
  <c r="W27" i="104"/>
  <c r="X21" i="115"/>
  <c r="X18" i="115"/>
  <c r="X22" i="115"/>
  <c r="X25" i="115"/>
  <c r="X47" i="115"/>
  <c r="X62" i="115"/>
  <c r="W33" i="104"/>
  <c r="X20" i="115"/>
  <c r="U63" i="115"/>
  <c r="V45" i="115"/>
  <c r="V60" i="115"/>
  <c r="U31" i="104"/>
  <c r="U48" i="115"/>
  <c r="U51" i="115"/>
  <c r="M7" i="115"/>
  <c r="L6" i="115"/>
  <c r="U34" i="104"/>
  <c r="O26" i="78"/>
  <c r="N29" i="78"/>
  <c r="T53" i="115"/>
  <c r="X43" i="115"/>
  <c r="X58" i="115"/>
  <c r="W29" i="104"/>
  <c r="V63" i="115"/>
  <c r="X26" i="115"/>
  <c r="X27" i="115"/>
  <c r="X40" i="115"/>
  <c r="U52" i="115"/>
  <c r="U50" i="115"/>
  <c r="V48" i="115"/>
  <c r="V51" i="115"/>
  <c r="W46" i="115"/>
  <c r="W61" i="115"/>
  <c r="V32" i="104"/>
  <c r="W42" i="115"/>
  <c r="W57" i="115"/>
  <c r="V28" i="104"/>
  <c r="W47" i="115"/>
  <c r="W62" i="115"/>
  <c r="V33" i="104"/>
  <c r="X46" i="115"/>
  <c r="X61" i="115"/>
  <c r="W32" i="104"/>
  <c r="X42" i="115"/>
  <c r="X57" i="115"/>
  <c r="W28" i="104"/>
  <c r="W45" i="115"/>
  <c r="W60" i="115"/>
  <c r="V31" i="104"/>
  <c r="W43" i="115"/>
  <c r="W58" i="115"/>
  <c r="V29" i="104"/>
  <c r="X44" i="115"/>
  <c r="X59" i="115"/>
  <c r="W30" i="104"/>
  <c r="W26" i="115"/>
  <c r="W27" i="115"/>
  <c r="W40" i="115"/>
  <c r="W55" i="115"/>
  <c r="V26" i="104"/>
  <c r="N7" i="115"/>
  <c r="M6" i="115"/>
  <c r="V34" i="104"/>
  <c r="P26" i="78"/>
  <c r="O29" i="78"/>
  <c r="W63" i="115"/>
  <c r="U53" i="115"/>
  <c r="X55" i="115"/>
  <c r="X48" i="115"/>
  <c r="X51" i="115"/>
  <c r="W48" i="115"/>
  <c r="W51" i="115"/>
  <c r="V52" i="115"/>
  <c r="V50" i="115"/>
  <c r="N6" i="115"/>
  <c r="O7" i="115"/>
  <c r="X63" i="115"/>
  <c r="W26" i="104"/>
  <c r="W34" i="104"/>
  <c r="P29" i="78"/>
  <c r="P30" i="78"/>
  <c r="P35" i="78"/>
  <c r="Q26" i="78"/>
  <c r="V53" i="115"/>
  <c r="W50" i="115"/>
  <c r="W52" i="115"/>
  <c r="X52" i="115"/>
  <c r="X50" i="115"/>
  <c r="O6" i="115"/>
  <c r="P7" i="115"/>
  <c r="X53" i="115"/>
  <c r="P37" i="78"/>
  <c r="P36" i="78"/>
  <c r="Q29" i="78"/>
  <c r="Q30" i="78"/>
  <c r="Q35" i="78"/>
  <c r="R26" i="78"/>
  <c r="W53" i="115"/>
  <c r="Q7" i="115"/>
  <c r="P6" i="115"/>
  <c r="R29" i="78"/>
  <c r="R30" i="78"/>
  <c r="R35" i="78"/>
  <c r="S26" i="78"/>
  <c r="Q36" i="78"/>
  <c r="Q37" i="78"/>
  <c r="P38" i="78"/>
  <c r="Q6" i="115"/>
  <c r="R7" i="115"/>
  <c r="S7" i="115"/>
  <c r="A2" i="109"/>
  <c r="A1" i="109"/>
  <c r="A2" i="113"/>
  <c r="A1" i="113"/>
  <c r="Q38" i="78"/>
  <c r="R37" i="78"/>
  <c r="R36" i="78"/>
  <c r="S29" i="78"/>
  <c r="S30" i="78"/>
  <c r="S35" i="78"/>
  <c r="T26" i="78"/>
  <c r="S6" i="115"/>
  <c r="T7" i="115"/>
  <c r="R6" i="115"/>
  <c r="T29" i="78"/>
  <c r="T30" i="78"/>
  <c r="T35" i="78"/>
  <c r="U26" i="78"/>
  <c r="S37" i="78"/>
  <c r="S36" i="78"/>
  <c r="R38" i="78"/>
  <c r="U7" i="115"/>
  <c r="T6" i="115"/>
  <c r="S38" i="78"/>
  <c r="T36" i="78"/>
  <c r="T37" i="78"/>
  <c r="U29" i="78"/>
  <c r="U30" i="78"/>
  <c r="U35" i="78"/>
  <c r="V26" i="78"/>
  <c r="V7" i="115"/>
  <c r="U6" i="115"/>
  <c r="T38" i="78"/>
  <c r="V29" i="78"/>
  <c r="V30" i="78"/>
  <c r="V35" i="78"/>
  <c r="U37" i="78"/>
  <c r="U36" i="78"/>
  <c r="W7" i="115"/>
  <c r="V6" i="115"/>
  <c r="B41" i="104"/>
  <c r="B51" i="104"/>
  <c r="B40" i="104"/>
  <c r="B50" i="104"/>
  <c r="U38" i="78"/>
  <c r="V36" i="78"/>
  <c r="V37" i="78"/>
  <c r="W6" i="115"/>
  <c r="X7" i="115"/>
  <c r="X6" i="115"/>
  <c r="C7" i="56"/>
  <c r="V38" i="78"/>
  <c r="E13" i="115"/>
  <c r="E16" i="115"/>
  <c r="E22" i="115"/>
  <c r="F13" i="115"/>
  <c r="F16" i="115"/>
  <c r="G13" i="115"/>
  <c r="G16" i="115"/>
  <c r="F19" i="115"/>
  <c r="F41" i="115"/>
  <c r="F56" i="115"/>
  <c r="E27" i="104"/>
  <c r="F25" i="115"/>
  <c r="F47" i="115"/>
  <c r="F62" i="115"/>
  <c r="E33" i="104"/>
  <c r="F24" i="115"/>
  <c r="F46" i="115"/>
  <c r="F61" i="115"/>
  <c r="E32" i="104"/>
  <c r="F21" i="115"/>
  <c r="F43" i="115"/>
  <c r="F58" i="115"/>
  <c r="E29" i="104"/>
  <c r="F18" i="115"/>
  <c r="F20" i="115"/>
  <c r="F42" i="115"/>
  <c r="F57" i="115"/>
  <c r="E28" i="104"/>
  <c r="F22" i="115"/>
  <c r="F44" i="115"/>
  <c r="F59" i="115"/>
  <c r="F23" i="115"/>
  <c r="F45" i="115"/>
  <c r="F60" i="115"/>
  <c r="E31" i="104"/>
  <c r="E23" i="115"/>
  <c r="E19" i="115"/>
  <c r="E18" i="115"/>
  <c r="E24" i="115"/>
  <c r="E20" i="115"/>
  <c r="E21" i="115"/>
  <c r="E25" i="115"/>
  <c r="G23" i="115"/>
  <c r="G45" i="115"/>
  <c r="G60" i="115"/>
  <c r="F31" i="104"/>
  <c r="G24" i="115"/>
  <c r="G46" i="115"/>
  <c r="G61" i="115"/>
  <c r="F32" i="104"/>
  <c r="G21" i="115"/>
  <c r="G43" i="115"/>
  <c r="G58" i="115"/>
  <c r="F29" i="104"/>
  <c r="G20" i="115"/>
  <c r="G42" i="115"/>
  <c r="G57" i="115"/>
  <c r="F28" i="104"/>
  <c r="G22" i="115"/>
  <c r="G44" i="115"/>
  <c r="G59" i="115"/>
  <c r="F30" i="104"/>
  <c r="G18" i="115"/>
  <c r="G19" i="115"/>
  <c r="G41" i="115"/>
  <c r="G56" i="115"/>
  <c r="F27" i="104"/>
  <c r="G25" i="115"/>
  <c r="G47" i="115"/>
  <c r="G62" i="115"/>
  <c r="F33" i="104"/>
  <c r="F40" i="115"/>
  <c r="F26" i="115"/>
  <c r="F27" i="115"/>
  <c r="E46" i="115"/>
  <c r="E47" i="115"/>
  <c r="E62" i="115"/>
  <c r="E43" i="115"/>
  <c r="E30" i="104"/>
  <c r="E40" i="115"/>
  <c r="E26" i="115"/>
  <c r="E44" i="115"/>
  <c r="E41" i="115"/>
  <c r="E45" i="115"/>
  <c r="H13" i="115"/>
  <c r="H16" i="115"/>
  <c r="E42" i="115"/>
  <c r="I13" i="115"/>
  <c r="I16" i="115"/>
  <c r="I20" i="115"/>
  <c r="I42" i="115"/>
  <c r="I57" i="115"/>
  <c r="H28" i="104"/>
  <c r="H21" i="115"/>
  <c r="H25" i="115"/>
  <c r="H47" i="115"/>
  <c r="H62" i="115"/>
  <c r="G33" i="104"/>
  <c r="H20" i="115"/>
  <c r="H24" i="115"/>
  <c r="H19" i="115"/>
  <c r="H23" i="115"/>
  <c r="H22" i="115"/>
  <c r="H18" i="115"/>
  <c r="D33" i="104"/>
  <c r="E59" i="115"/>
  <c r="E60" i="115"/>
  <c r="E27" i="115"/>
  <c r="E58" i="115"/>
  <c r="G40" i="115"/>
  <c r="G26" i="115"/>
  <c r="G27" i="115"/>
  <c r="E55" i="115"/>
  <c r="E48" i="115"/>
  <c r="E61" i="115"/>
  <c r="E57" i="115"/>
  <c r="E56" i="115"/>
  <c r="F55" i="115"/>
  <c r="F48" i="115"/>
  <c r="F51" i="115"/>
  <c r="D15" i="115"/>
  <c r="D14" i="115"/>
  <c r="E51" i="115"/>
  <c r="E50" i="115"/>
  <c r="J13" i="115"/>
  <c r="J16" i="115"/>
  <c r="J25" i="115"/>
  <c r="I24" i="115"/>
  <c r="I46" i="115"/>
  <c r="I61" i="115"/>
  <c r="I18" i="115"/>
  <c r="I40" i="115"/>
  <c r="I22" i="115"/>
  <c r="I44" i="115"/>
  <c r="I59" i="115"/>
  <c r="H30" i="104"/>
  <c r="I21" i="115"/>
  <c r="I43" i="115"/>
  <c r="I58" i="115"/>
  <c r="H29" i="104"/>
  <c r="I19" i="115"/>
  <c r="I41" i="115"/>
  <c r="I56" i="115"/>
  <c r="H27" i="104"/>
  <c r="I25" i="115"/>
  <c r="I47" i="115"/>
  <c r="I62" i="115"/>
  <c r="H33" i="104"/>
  <c r="I23" i="115"/>
  <c r="I45" i="115"/>
  <c r="I60" i="115"/>
  <c r="H31" i="104"/>
  <c r="H44" i="115"/>
  <c r="H59" i="115"/>
  <c r="E26" i="104"/>
  <c r="F63" i="115"/>
  <c r="H41" i="115"/>
  <c r="H56" i="115"/>
  <c r="H46" i="115"/>
  <c r="H40" i="115"/>
  <c r="H26" i="115"/>
  <c r="D28" i="104"/>
  <c r="H45" i="115"/>
  <c r="D29" i="104"/>
  <c r="D30" i="104"/>
  <c r="H42" i="115"/>
  <c r="H57" i="115"/>
  <c r="F50" i="115"/>
  <c r="F52" i="115"/>
  <c r="D31" i="104"/>
  <c r="E52" i="115"/>
  <c r="D26" i="104"/>
  <c r="E63" i="115"/>
  <c r="G55" i="115"/>
  <c r="G48" i="115"/>
  <c r="G51" i="115"/>
  <c r="D27" i="104"/>
  <c r="D32" i="104"/>
  <c r="H43" i="115"/>
  <c r="J18" i="115"/>
  <c r="J40" i="115"/>
  <c r="J55" i="115"/>
  <c r="J22" i="115"/>
  <c r="J44" i="115"/>
  <c r="J59" i="115"/>
  <c r="I30" i="104"/>
  <c r="J23" i="115"/>
  <c r="J45" i="115"/>
  <c r="J60" i="115"/>
  <c r="I31" i="104"/>
  <c r="J19" i="115"/>
  <c r="J41" i="115"/>
  <c r="J56" i="115"/>
  <c r="I27" i="104"/>
  <c r="J20" i="115"/>
  <c r="J42" i="115"/>
  <c r="J57" i="115"/>
  <c r="I28" i="104"/>
  <c r="J21" i="115"/>
  <c r="J43" i="115"/>
  <c r="J58" i="115"/>
  <c r="I29" i="104"/>
  <c r="J24" i="115"/>
  <c r="J46" i="115"/>
  <c r="J61" i="115"/>
  <c r="I32" i="104"/>
  <c r="I26" i="115"/>
  <c r="I27" i="115"/>
  <c r="G27" i="104"/>
  <c r="G28" i="104"/>
  <c r="G30" i="104"/>
  <c r="H32" i="104"/>
  <c r="I55" i="115"/>
  <c r="I48" i="115"/>
  <c r="I51" i="115"/>
  <c r="H60" i="115"/>
  <c r="H61" i="115"/>
  <c r="E53" i="115"/>
  <c r="K13" i="115"/>
  <c r="K16" i="115"/>
  <c r="H48" i="115"/>
  <c r="H51" i="115"/>
  <c r="F53" i="115"/>
  <c r="H55" i="115"/>
  <c r="F26" i="104"/>
  <c r="G63" i="115"/>
  <c r="H58" i="115"/>
  <c r="G52" i="115"/>
  <c r="G50" i="115"/>
  <c r="H27" i="115"/>
  <c r="J47" i="115"/>
  <c r="J26" i="115"/>
  <c r="J27" i="115"/>
  <c r="G53" i="115"/>
  <c r="K22" i="115"/>
  <c r="K23" i="115"/>
  <c r="K18" i="115"/>
  <c r="K20" i="115"/>
  <c r="K19" i="115"/>
  <c r="K21" i="115"/>
  <c r="K25" i="115"/>
  <c r="K24" i="115"/>
  <c r="J48" i="115"/>
  <c r="J51" i="115"/>
  <c r="L13" i="115"/>
  <c r="L16" i="115"/>
  <c r="G31" i="104"/>
  <c r="H52" i="115"/>
  <c r="H50" i="115"/>
  <c r="I50" i="115"/>
  <c r="I52" i="115"/>
  <c r="G26" i="104"/>
  <c r="H63" i="115"/>
  <c r="G32" i="104"/>
  <c r="H26" i="104"/>
  <c r="I63" i="115"/>
  <c r="G29" i="104"/>
  <c r="I26" i="104"/>
  <c r="J62" i="115"/>
  <c r="J63" i="115"/>
  <c r="I53" i="115"/>
  <c r="K41" i="115"/>
  <c r="M13" i="115"/>
  <c r="M16" i="115"/>
  <c r="K47" i="115"/>
  <c r="K43" i="115"/>
  <c r="L21" i="115"/>
  <c r="L43" i="115"/>
  <c r="L58" i="115"/>
  <c r="K29" i="104"/>
  <c r="L25" i="115"/>
  <c r="L47" i="115"/>
  <c r="L62" i="115"/>
  <c r="K33" i="104"/>
  <c r="L20" i="115"/>
  <c r="L42" i="115"/>
  <c r="L57" i="115"/>
  <c r="K28" i="104"/>
  <c r="L24" i="115"/>
  <c r="L46" i="115"/>
  <c r="L61" i="115"/>
  <c r="K32" i="104"/>
  <c r="L19" i="115"/>
  <c r="L41" i="115"/>
  <c r="L56" i="115"/>
  <c r="K27" i="104"/>
  <c r="L18" i="115"/>
  <c r="L22" i="115"/>
  <c r="L44" i="115"/>
  <c r="L59" i="115"/>
  <c r="K30" i="104"/>
  <c r="L23" i="115"/>
  <c r="L45" i="115"/>
  <c r="L60" i="115"/>
  <c r="K31" i="104"/>
  <c r="K42" i="115"/>
  <c r="K40" i="115"/>
  <c r="K26" i="115"/>
  <c r="H53" i="115"/>
  <c r="K45" i="115"/>
  <c r="J52" i="115"/>
  <c r="J50" i="115"/>
  <c r="K44" i="115"/>
  <c r="I33" i="104"/>
  <c r="K46" i="115"/>
  <c r="J53" i="115"/>
  <c r="K61" i="115"/>
  <c r="K57" i="115"/>
  <c r="K62" i="115"/>
  <c r="N13" i="115"/>
  <c r="N16" i="115"/>
  <c r="K48" i="115"/>
  <c r="K51" i="115"/>
  <c r="M19" i="115"/>
  <c r="M21" i="115"/>
  <c r="M23" i="115"/>
  <c r="M22" i="115"/>
  <c r="M25" i="115"/>
  <c r="M18" i="115"/>
  <c r="M24" i="115"/>
  <c r="M46" i="115"/>
  <c r="M61" i="115"/>
  <c r="L32" i="104"/>
  <c r="M20" i="115"/>
  <c r="K60" i="115"/>
  <c r="K55" i="115"/>
  <c r="L40" i="115"/>
  <c r="L26" i="115"/>
  <c r="L27" i="115"/>
  <c r="K58" i="115"/>
  <c r="K56" i="115"/>
  <c r="K59" i="115"/>
  <c r="K27" i="115"/>
  <c r="J29" i="104"/>
  <c r="M42" i="115"/>
  <c r="J32" i="104"/>
  <c r="J27" i="104"/>
  <c r="M45" i="115"/>
  <c r="O13" i="115"/>
  <c r="O16" i="115"/>
  <c r="J33" i="104"/>
  <c r="J28" i="104"/>
  <c r="J31" i="104"/>
  <c r="L55" i="115"/>
  <c r="L48" i="115"/>
  <c r="L51" i="115"/>
  <c r="M40" i="115"/>
  <c r="M55" i="115"/>
  <c r="M26" i="115"/>
  <c r="M27" i="115"/>
  <c r="K63" i="115"/>
  <c r="J26" i="104"/>
  <c r="M47" i="115"/>
  <c r="K50" i="115"/>
  <c r="K52" i="115"/>
  <c r="M43" i="115"/>
  <c r="M41" i="115"/>
  <c r="J30" i="104"/>
  <c r="M44" i="115"/>
  <c r="N24" i="115"/>
  <c r="N46" i="115"/>
  <c r="N20" i="115"/>
  <c r="N42" i="115"/>
  <c r="N57" i="115"/>
  <c r="M28" i="104"/>
  <c r="N25" i="115"/>
  <c r="N23" i="115"/>
  <c r="N45" i="115"/>
  <c r="N60" i="115"/>
  <c r="M31" i="104"/>
  <c r="N21" i="115"/>
  <c r="N19" i="115"/>
  <c r="N41" i="115"/>
  <c r="N56" i="115"/>
  <c r="M27" i="104"/>
  <c r="N22" i="115"/>
  <c r="N44" i="115"/>
  <c r="N59" i="115"/>
  <c r="M30" i="104"/>
  <c r="N18" i="115"/>
  <c r="O23" i="115"/>
  <c r="O45" i="115"/>
  <c r="O60" i="115"/>
  <c r="N31" i="104"/>
  <c r="O19" i="115"/>
  <c r="O41" i="115"/>
  <c r="O56" i="115"/>
  <c r="N27" i="104"/>
  <c r="O22" i="115"/>
  <c r="O44" i="115"/>
  <c r="O59" i="115"/>
  <c r="N30" i="104"/>
  <c r="O18" i="115"/>
  <c r="O25" i="115"/>
  <c r="O47" i="115"/>
  <c r="O62" i="115"/>
  <c r="N33" i="104"/>
  <c r="O20" i="115"/>
  <c r="O42" i="115"/>
  <c r="O57" i="115"/>
  <c r="N28" i="104"/>
  <c r="O21" i="115"/>
  <c r="O24" i="115"/>
  <c r="O46" i="115"/>
  <c r="O61" i="115"/>
  <c r="N32" i="104"/>
  <c r="M58" i="115"/>
  <c r="M62" i="115"/>
  <c r="M57" i="115"/>
  <c r="P13" i="115"/>
  <c r="P16" i="115"/>
  <c r="N61" i="115"/>
  <c r="M48" i="115"/>
  <c r="M51" i="115"/>
  <c r="K26" i="104"/>
  <c r="L63" i="115"/>
  <c r="N47" i="115"/>
  <c r="N62" i="115"/>
  <c r="L26" i="104"/>
  <c r="M60" i="115"/>
  <c r="L52" i="115"/>
  <c r="L50" i="115"/>
  <c r="M59" i="115"/>
  <c r="N26" i="115"/>
  <c r="N40" i="115"/>
  <c r="N43" i="115"/>
  <c r="N58" i="115"/>
  <c r="M29" i="104"/>
  <c r="M56" i="115"/>
  <c r="K53" i="115"/>
  <c r="P20" i="115"/>
  <c r="P42" i="115"/>
  <c r="P57" i="115"/>
  <c r="O28" i="104"/>
  <c r="P23" i="115"/>
  <c r="P45" i="115"/>
  <c r="P21" i="115"/>
  <c r="P43" i="115"/>
  <c r="P58" i="115"/>
  <c r="O29" i="104"/>
  <c r="P19" i="115"/>
  <c r="P41" i="115"/>
  <c r="P22" i="115"/>
  <c r="P44" i="115"/>
  <c r="P24" i="115"/>
  <c r="P46" i="115"/>
  <c r="P18" i="115"/>
  <c r="P25" i="115"/>
  <c r="P47" i="115"/>
  <c r="P62" i="115"/>
  <c r="O33" i="104"/>
  <c r="Q13" i="115"/>
  <c r="Q16" i="115"/>
  <c r="L31" i="104"/>
  <c r="O40" i="115"/>
  <c r="O26" i="115"/>
  <c r="O27" i="115"/>
  <c r="M50" i="115"/>
  <c r="M52" i="115"/>
  <c r="O43" i="115"/>
  <c r="L30" i="104"/>
  <c r="L27" i="104"/>
  <c r="L29" i="104"/>
  <c r="L28" i="104"/>
  <c r="N55" i="115"/>
  <c r="N48" i="115"/>
  <c r="N51" i="115"/>
  <c r="M63" i="115"/>
  <c r="N27" i="115"/>
  <c r="M33" i="104"/>
  <c r="L53" i="115"/>
  <c r="M32" i="104"/>
  <c r="L33" i="104"/>
  <c r="Q19" i="115"/>
  <c r="Q41" i="115"/>
  <c r="Q56" i="115"/>
  <c r="P27" i="104"/>
  <c r="Q22" i="115"/>
  <c r="Q44" i="115"/>
  <c r="Q59" i="115"/>
  <c r="P30" i="104"/>
  <c r="Q18" i="115"/>
  <c r="Q25" i="115"/>
  <c r="Q47" i="115"/>
  <c r="Q62" i="115"/>
  <c r="P33" i="104"/>
  <c r="Q21" i="115"/>
  <c r="Q43" i="115"/>
  <c r="Q58" i="115"/>
  <c r="P29" i="104"/>
  <c r="Q20" i="115"/>
  <c r="Q42" i="115"/>
  <c r="Q57" i="115"/>
  <c r="P28" i="104"/>
  <c r="Q23" i="115"/>
  <c r="Q45" i="115"/>
  <c r="Q60" i="115"/>
  <c r="P31" i="104"/>
  <c r="Q24" i="115"/>
  <c r="Q46" i="115"/>
  <c r="Q61" i="115"/>
  <c r="P32" i="104"/>
  <c r="P61" i="115"/>
  <c r="M53" i="115"/>
  <c r="P59" i="115"/>
  <c r="R13" i="115"/>
  <c r="R16" i="115"/>
  <c r="P56" i="115"/>
  <c r="P26" i="115"/>
  <c r="P27" i="115"/>
  <c r="P40" i="115"/>
  <c r="P48" i="115"/>
  <c r="P51" i="115"/>
  <c r="N50" i="115"/>
  <c r="N52" i="115"/>
  <c r="P60" i="115"/>
  <c r="O58" i="115"/>
  <c r="O55" i="115"/>
  <c r="O48" i="115"/>
  <c r="O51" i="115"/>
  <c r="M26" i="104"/>
  <c r="N63" i="115"/>
  <c r="P55" i="115"/>
  <c r="P63" i="115"/>
  <c r="R25" i="115"/>
  <c r="R47" i="115"/>
  <c r="R62" i="115"/>
  <c r="Q33" i="104"/>
  <c r="R21" i="115"/>
  <c r="R43" i="115"/>
  <c r="R58" i="115"/>
  <c r="Q29" i="104"/>
  <c r="R24" i="115"/>
  <c r="R46" i="115"/>
  <c r="R61" i="115"/>
  <c r="Q32" i="104"/>
  <c r="R20" i="115"/>
  <c r="R42" i="115"/>
  <c r="R57" i="115"/>
  <c r="Q28" i="104"/>
  <c r="R23" i="115"/>
  <c r="R45" i="115"/>
  <c r="R60" i="115"/>
  <c r="Q31" i="104"/>
  <c r="R19" i="115"/>
  <c r="R41" i="115"/>
  <c r="R56" i="115"/>
  <c r="Q27" i="104"/>
  <c r="R22" i="115"/>
  <c r="R44" i="115"/>
  <c r="R59" i="115"/>
  <c r="Q30" i="104"/>
  <c r="R18" i="115"/>
  <c r="P52" i="115"/>
  <c r="P50" i="115"/>
  <c r="Q40" i="115"/>
  <c r="Q48" i="115"/>
  <c r="Q51" i="115"/>
  <c r="Q26" i="115"/>
  <c r="Q27" i="115"/>
  <c r="O52" i="115"/>
  <c r="O50" i="115"/>
  <c r="N26" i="104"/>
  <c r="O63" i="115"/>
  <c r="N29" i="104"/>
  <c r="O32" i="104"/>
  <c r="O30" i="104"/>
  <c r="O27" i="104"/>
  <c r="O31" i="104"/>
  <c r="N53" i="115"/>
  <c r="O26" i="104"/>
  <c r="P53" i="115"/>
  <c r="Q55" i="115"/>
  <c r="P26" i="104"/>
  <c r="Q50" i="115"/>
  <c r="Q52" i="115"/>
  <c r="O53" i="115"/>
  <c r="R26" i="115"/>
  <c r="R27" i="115"/>
  <c r="R40" i="115"/>
  <c r="R48" i="115"/>
  <c r="R51" i="115"/>
  <c r="Q53" i="115"/>
  <c r="R55" i="115"/>
  <c r="Q26" i="104"/>
  <c r="Q63" i="115"/>
  <c r="G49" i="104"/>
  <c r="Y20" i="115"/>
  <c r="F37" i="33"/>
  <c r="Z20" i="115"/>
  <c r="G37" i="33"/>
  <c r="G47" i="104"/>
  <c r="Z18" i="115"/>
  <c r="G35" i="33"/>
  <c r="Y18" i="115"/>
  <c r="F35" i="33"/>
  <c r="G54" i="104"/>
  <c r="Z25" i="115"/>
  <c r="G42" i="33"/>
  <c r="Y25" i="115"/>
  <c r="F42" i="33"/>
  <c r="G50" i="104"/>
  <c r="Z21" i="115"/>
  <c r="G38" i="33"/>
  <c r="Y21" i="115"/>
  <c r="R50" i="115"/>
  <c r="R52" i="115"/>
  <c r="G52" i="104"/>
  <c r="Z23" i="115"/>
  <c r="G40" i="33"/>
  <c r="Y23" i="115"/>
  <c r="F40" i="33"/>
  <c r="G51" i="104"/>
  <c r="Y22" i="115"/>
  <c r="F39" i="33"/>
  <c r="Z22" i="115"/>
  <c r="G39" i="33"/>
  <c r="G53" i="104"/>
  <c r="Y24" i="115"/>
  <c r="F41" i="33"/>
  <c r="Z24" i="115"/>
  <c r="G41" i="33"/>
  <c r="G48" i="104"/>
  <c r="Y19" i="115"/>
  <c r="F36" i="33"/>
  <c r="Z19" i="115"/>
  <c r="G36" i="33"/>
  <c r="Q34" i="104"/>
  <c r="R63" i="115"/>
  <c r="F38" i="33"/>
  <c r="R53" i="115"/>
  <c r="Z47" i="115"/>
  <c r="G14" i="33"/>
  <c r="Y47" i="115"/>
  <c r="F14" i="33"/>
  <c r="Z44" i="115"/>
  <c r="G11" i="33"/>
  <c r="Y44" i="115"/>
  <c r="F11" i="33"/>
  <c r="Y46" i="115"/>
  <c r="F13" i="33"/>
  <c r="Z46" i="115"/>
  <c r="G13" i="33"/>
  <c r="Z41" i="115"/>
  <c r="G8" i="33"/>
  <c r="Y41" i="115"/>
  <c r="F8" i="33"/>
  <c r="Z42" i="115"/>
  <c r="G9" i="33"/>
  <c r="Y42" i="115"/>
  <c r="F9" i="33"/>
  <c r="Y55" i="115"/>
  <c r="Z55" i="115"/>
  <c r="Y45" i="115"/>
  <c r="F12" i="33"/>
  <c r="Z45" i="115"/>
  <c r="G12" i="33"/>
  <c r="Y26" i="115"/>
  <c r="Z26" i="115"/>
  <c r="Y43" i="115"/>
  <c r="F10" i="33"/>
  <c r="Z43" i="115"/>
  <c r="G10" i="33"/>
  <c r="Y40" i="115"/>
  <c r="F7" i="33"/>
  <c r="Z40" i="115"/>
  <c r="G24" i="33"/>
  <c r="F24" i="33"/>
  <c r="R34" i="104"/>
  <c r="Z48" i="115"/>
  <c r="G7" i="33"/>
  <c r="Z61" i="115"/>
  <c r="Y61" i="115"/>
  <c r="Z60" i="115"/>
  <c r="Y60" i="115"/>
  <c r="Z59" i="115"/>
  <c r="Y59" i="115"/>
  <c r="Z27" i="115"/>
  <c r="Y27" i="115"/>
  <c r="Z57" i="115"/>
  <c r="Y57" i="115"/>
  <c r="Z58" i="115"/>
  <c r="Y58" i="115"/>
  <c r="Y56" i="115"/>
  <c r="Z56" i="115"/>
  <c r="Y62" i="115"/>
  <c r="Z62" i="115"/>
  <c r="Y48" i="115"/>
  <c r="C20" i="113"/>
  <c r="F28" i="33"/>
  <c r="F26" i="33"/>
  <c r="G28" i="33"/>
  <c r="G26" i="33"/>
  <c r="F30" i="33"/>
  <c r="F29" i="33"/>
  <c r="G31" i="33"/>
  <c r="G25" i="33"/>
  <c r="F27" i="33"/>
  <c r="G27" i="33"/>
  <c r="G29" i="33"/>
  <c r="F31" i="33"/>
  <c r="G30" i="33"/>
  <c r="F25" i="33"/>
  <c r="Z63" i="115"/>
  <c r="Y63" i="115"/>
  <c r="Z52" i="115"/>
  <c r="G20" i="33"/>
  <c r="Y52" i="115"/>
  <c r="F20" i="33"/>
  <c r="Z50" i="115"/>
  <c r="G18" i="33"/>
  <c r="Y50" i="115"/>
  <c r="F18" i="33"/>
  <c r="Y51" i="115"/>
  <c r="F19" i="33"/>
  <c r="Z51" i="115"/>
  <c r="G19" i="33"/>
  <c r="V27" i="109"/>
  <c r="B16" i="109"/>
  <c r="X15" i="109"/>
  <c r="D15" i="109"/>
  <c r="E15" i="109"/>
  <c r="F15" i="109"/>
  <c r="C14" i="109"/>
  <c r="E11" i="109"/>
  <c r="G11" i="109"/>
  <c r="B21" i="109"/>
  <c r="B20" i="109"/>
  <c r="E9" i="109"/>
  <c r="G9" i="109"/>
  <c r="B19" i="109"/>
  <c r="E8" i="109"/>
  <c r="G8" i="109"/>
  <c r="B18" i="109"/>
  <c r="E7" i="109"/>
  <c r="G7" i="109"/>
  <c r="B17" i="109"/>
  <c r="E6" i="109"/>
  <c r="G6" i="109"/>
  <c r="C19" i="109"/>
  <c r="C21" i="109"/>
  <c r="C18" i="109"/>
  <c r="E14" i="109"/>
  <c r="E18" i="109"/>
  <c r="E17" i="109"/>
  <c r="C16" i="109"/>
  <c r="C17" i="109"/>
  <c r="S34" i="104"/>
  <c r="X32" i="104"/>
  <c r="T34" i="104"/>
  <c r="Z53" i="115"/>
  <c r="Y53" i="115"/>
  <c r="F14" i="109"/>
  <c r="F17" i="109"/>
  <c r="D14" i="109"/>
  <c r="D16" i="109"/>
  <c r="D12" i="109"/>
  <c r="E10" i="109"/>
  <c r="G10" i="109"/>
  <c r="E16" i="109"/>
  <c r="G15" i="109"/>
  <c r="E21" i="109"/>
  <c r="F18" i="109"/>
  <c r="D21" i="109"/>
  <c r="D17" i="109"/>
  <c r="F19" i="109"/>
  <c r="D18" i="109"/>
  <c r="F16" i="109"/>
  <c r="E19" i="109"/>
  <c r="F21" i="109"/>
  <c r="D19" i="109"/>
  <c r="C20" i="109"/>
  <c r="D20" i="109"/>
  <c r="E20" i="109"/>
  <c r="F20" i="109"/>
  <c r="H15" i="109"/>
  <c r="G14" i="109"/>
  <c r="G21" i="109"/>
  <c r="G16" i="109"/>
  <c r="G19" i="109"/>
  <c r="G17" i="109"/>
  <c r="G20" i="109"/>
  <c r="G18" i="109"/>
  <c r="H14" i="109"/>
  <c r="H21" i="109"/>
  <c r="I15" i="109"/>
  <c r="H19" i="109"/>
  <c r="H20" i="109"/>
  <c r="H18" i="109"/>
  <c r="H16" i="109"/>
  <c r="H17" i="109"/>
  <c r="J15" i="109"/>
  <c r="I14" i="109"/>
  <c r="I17" i="109"/>
  <c r="I19" i="109"/>
  <c r="I21" i="109"/>
  <c r="I18" i="109"/>
  <c r="I20" i="109"/>
  <c r="I16" i="109"/>
  <c r="J14" i="109"/>
  <c r="J19" i="109"/>
  <c r="J18" i="109"/>
  <c r="J21" i="109"/>
  <c r="J16" i="109"/>
  <c r="K15" i="109"/>
  <c r="K14" i="109"/>
  <c r="K18" i="109"/>
  <c r="K21" i="109"/>
  <c r="K17" i="109"/>
  <c r="K20" i="109"/>
  <c r="J20" i="109"/>
  <c r="J17" i="109"/>
  <c r="L15" i="109"/>
  <c r="K19" i="109"/>
  <c r="K16" i="109"/>
  <c r="L14" i="109"/>
  <c r="L19" i="109"/>
  <c r="M15" i="109"/>
  <c r="L16" i="109"/>
  <c r="M14" i="109"/>
  <c r="M18" i="109"/>
  <c r="M20" i="109"/>
  <c r="L20" i="109"/>
  <c r="L18" i="109"/>
  <c r="L17" i="109"/>
  <c r="L21" i="109"/>
  <c r="N15" i="109"/>
  <c r="M16" i="109"/>
  <c r="M21" i="109"/>
  <c r="M19" i="109"/>
  <c r="M17" i="109"/>
  <c r="N14" i="109"/>
  <c r="N21" i="109"/>
  <c r="N17" i="109"/>
  <c r="N16" i="109"/>
  <c r="N19" i="109"/>
  <c r="N18" i="109"/>
  <c r="O15" i="109"/>
  <c r="P15" i="109"/>
  <c r="O14" i="109"/>
  <c r="O21" i="109"/>
  <c r="O17" i="109"/>
  <c r="O16" i="109"/>
  <c r="O19" i="109"/>
  <c r="O18" i="109"/>
  <c r="O20" i="109"/>
  <c r="N20" i="109"/>
  <c r="P14" i="109"/>
  <c r="P21" i="109"/>
  <c r="Q15" i="109"/>
  <c r="R15" i="109"/>
  <c r="P20" i="109"/>
  <c r="P17" i="109"/>
  <c r="P18" i="109"/>
  <c r="R14" i="109"/>
  <c r="R20" i="109"/>
  <c r="R21" i="109"/>
  <c r="R17" i="109"/>
  <c r="Q14" i="109"/>
  <c r="Q18" i="109"/>
  <c r="Q21" i="109"/>
  <c r="Q17" i="109"/>
  <c r="Q19" i="109"/>
  <c r="Q16" i="109"/>
  <c r="Q20" i="109"/>
  <c r="P19" i="109"/>
  <c r="P16" i="109"/>
  <c r="S15" i="109"/>
  <c r="B3" i="108"/>
  <c r="R19" i="109"/>
  <c r="R18" i="109"/>
  <c r="R16" i="109"/>
  <c r="Q22" i="109"/>
  <c r="S14" i="109"/>
  <c r="S21" i="109"/>
  <c r="S16" i="109"/>
  <c r="S19" i="109"/>
  <c r="S18" i="109"/>
  <c r="P22" i="109"/>
  <c r="R22" i="109"/>
  <c r="T15" i="109"/>
  <c r="C30" i="78"/>
  <c r="E6" i="38"/>
  <c r="F6" i="38"/>
  <c r="G6" i="38"/>
  <c r="H6" i="38"/>
  <c r="I6" i="38"/>
  <c r="J6" i="38"/>
  <c r="K6" i="38"/>
  <c r="L6" i="38"/>
  <c r="M6" i="38"/>
  <c r="N6" i="38"/>
  <c r="O6" i="38"/>
  <c r="P6" i="38"/>
  <c r="Q6" i="38"/>
  <c r="R6" i="38"/>
  <c r="S6" i="38"/>
  <c r="T6" i="38"/>
  <c r="U6" i="38"/>
  <c r="V6" i="38"/>
  <c r="W6" i="38"/>
  <c r="X6" i="38"/>
  <c r="S20" i="109"/>
  <c r="S17" i="109"/>
  <c r="T14" i="109"/>
  <c r="T18" i="109"/>
  <c r="T21" i="109"/>
  <c r="T17" i="109"/>
  <c r="T20" i="109"/>
  <c r="S22" i="109"/>
  <c r="U15" i="109"/>
  <c r="T16" i="109"/>
  <c r="B22" i="71"/>
  <c r="B30" i="33"/>
  <c r="B42" i="33"/>
  <c r="F7" i="38"/>
  <c r="T19" i="109"/>
  <c r="T22" i="109"/>
  <c r="U14" i="109"/>
  <c r="U18" i="109"/>
  <c r="V15" i="109"/>
  <c r="B41" i="33"/>
  <c r="B31" i="33"/>
  <c r="U20" i="109"/>
  <c r="U21" i="109"/>
  <c r="U17" i="109"/>
  <c r="U19" i="109"/>
  <c r="U16" i="109"/>
  <c r="V14" i="109"/>
  <c r="V17" i="109"/>
  <c r="V19" i="109"/>
  <c r="V21" i="109"/>
  <c r="V18" i="109"/>
  <c r="C21" i="104"/>
  <c r="D10" i="104"/>
  <c r="V16" i="109"/>
  <c r="U22" i="109"/>
  <c r="V20" i="109"/>
  <c r="V22" i="109"/>
  <c r="E10" i="104"/>
  <c r="F10" i="104"/>
  <c r="G10" i="104"/>
  <c r="H10" i="104"/>
  <c r="I10" i="104"/>
  <c r="J10" i="104"/>
  <c r="K10" i="104"/>
  <c r="L10" i="104"/>
  <c r="M10" i="104"/>
  <c r="N10" i="104"/>
  <c r="O10" i="104"/>
  <c r="P10" i="104"/>
  <c r="Q10" i="104"/>
  <c r="G7" i="38"/>
  <c r="H7" i="38"/>
  <c r="Q11" i="104"/>
  <c r="R10" i="104"/>
  <c r="E9" i="104"/>
  <c r="F9" i="104"/>
  <c r="G9" i="104"/>
  <c r="H9" i="104"/>
  <c r="I9" i="104"/>
  <c r="J9" i="104"/>
  <c r="K9" i="104"/>
  <c r="L9" i="104"/>
  <c r="M9" i="104"/>
  <c r="N9" i="104"/>
  <c r="O9" i="104"/>
  <c r="P9" i="104"/>
  <c r="Q9" i="104"/>
  <c r="R9" i="104"/>
  <c r="S9" i="104"/>
  <c r="T9" i="104"/>
  <c r="U9" i="104"/>
  <c r="V9" i="104"/>
  <c r="W9" i="104"/>
  <c r="R11" i="104"/>
  <c r="S10" i="104"/>
  <c r="Q15" i="104"/>
  <c r="Q39" i="104"/>
  <c r="Q16" i="104"/>
  <c r="Q40" i="104"/>
  <c r="Q14" i="104"/>
  <c r="Q38" i="104"/>
  <c r="Q17" i="104"/>
  <c r="Q41" i="104"/>
  <c r="Q20" i="104"/>
  <c r="Q44" i="104"/>
  <c r="Q13" i="104"/>
  <c r="Q37" i="104"/>
  <c r="Q18" i="104"/>
  <c r="Q42" i="104"/>
  <c r="Q19" i="104"/>
  <c r="Q43" i="104"/>
  <c r="H3" i="104"/>
  <c r="B3" i="104"/>
  <c r="Y32" i="104"/>
  <c r="B2" i="104"/>
  <c r="B1" i="104"/>
  <c r="Q21" i="104"/>
  <c r="Q22" i="104"/>
  <c r="Q45" i="104"/>
  <c r="T10" i="104"/>
  <c r="S11" i="104"/>
  <c r="R14" i="104"/>
  <c r="R38" i="104"/>
  <c r="R15" i="104"/>
  <c r="R39" i="104"/>
  <c r="R16" i="104"/>
  <c r="R40" i="104"/>
  <c r="R13" i="104"/>
  <c r="R37" i="104"/>
  <c r="R17" i="104"/>
  <c r="R41" i="104"/>
  <c r="R19" i="104"/>
  <c r="R43" i="104"/>
  <c r="R20" i="104"/>
  <c r="R44" i="104"/>
  <c r="R18" i="104"/>
  <c r="R42" i="104"/>
  <c r="D7" i="104"/>
  <c r="E8" i="104"/>
  <c r="R21" i="104"/>
  <c r="R22" i="104"/>
  <c r="R45" i="104"/>
  <c r="S19" i="104"/>
  <c r="S43" i="104"/>
  <c r="S14" i="104"/>
  <c r="S38" i="104"/>
  <c r="S20" i="104"/>
  <c r="S44" i="104"/>
  <c r="S15" i="104"/>
  <c r="S39" i="104"/>
  <c r="S16" i="104"/>
  <c r="S40" i="104"/>
  <c r="S17" i="104"/>
  <c r="S41" i="104"/>
  <c r="S13" i="104"/>
  <c r="S18" i="104"/>
  <c r="S42" i="104"/>
  <c r="U10" i="104"/>
  <c r="T11" i="104"/>
  <c r="F8" i="104"/>
  <c r="E7" i="104"/>
  <c r="T18" i="104"/>
  <c r="T42" i="104"/>
  <c r="T19" i="104"/>
  <c r="T43" i="104"/>
  <c r="T14" i="104"/>
  <c r="T38" i="104"/>
  <c r="T15" i="104"/>
  <c r="T39" i="104"/>
  <c r="T17" i="104"/>
  <c r="T41" i="104"/>
  <c r="T16" i="104"/>
  <c r="T40" i="104"/>
  <c r="T20" i="104"/>
  <c r="T44" i="104"/>
  <c r="T13" i="104"/>
  <c r="U11" i="104"/>
  <c r="V10" i="104"/>
  <c r="S21" i="104"/>
  <c r="S22" i="104"/>
  <c r="S37" i="104"/>
  <c r="S45" i="104"/>
  <c r="F7" i="104"/>
  <c r="G8" i="104"/>
  <c r="T21" i="104"/>
  <c r="T22" i="104"/>
  <c r="T37" i="104"/>
  <c r="T45" i="104"/>
  <c r="U13" i="104"/>
  <c r="U18" i="104"/>
  <c r="U42" i="104"/>
  <c r="U19" i="104"/>
  <c r="U43" i="104"/>
  <c r="U14" i="104"/>
  <c r="U38" i="104"/>
  <c r="U15" i="104"/>
  <c r="U39" i="104"/>
  <c r="U16" i="104"/>
  <c r="U40" i="104"/>
  <c r="U17" i="104"/>
  <c r="U41" i="104"/>
  <c r="U20" i="104"/>
  <c r="U44" i="104"/>
  <c r="W10" i="104"/>
  <c r="W11" i="104"/>
  <c r="V11" i="104"/>
  <c r="H8" i="104"/>
  <c r="G7" i="104"/>
  <c r="V17" i="104"/>
  <c r="V41" i="104"/>
  <c r="V13" i="104"/>
  <c r="V20" i="104"/>
  <c r="V44" i="104"/>
  <c r="V15" i="104"/>
  <c r="V39" i="104"/>
  <c r="V18" i="104"/>
  <c r="V42" i="104"/>
  <c r="V19" i="104"/>
  <c r="V43" i="104"/>
  <c r="V14" i="104"/>
  <c r="V38" i="104"/>
  <c r="V16" i="104"/>
  <c r="V40" i="104"/>
  <c r="U37" i="104"/>
  <c r="U45" i="104"/>
  <c r="U21" i="104"/>
  <c r="U22" i="104"/>
  <c r="W17" i="104"/>
  <c r="W41" i="104"/>
  <c r="W20" i="104"/>
  <c r="W44" i="104"/>
  <c r="W13" i="104"/>
  <c r="W18" i="104"/>
  <c r="W42" i="104"/>
  <c r="W19" i="104"/>
  <c r="W43" i="104"/>
  <c r="W14" i="104"/>
  <c r="W38" i="104"/>
  <c r="W16" i="104"/>
  <c r="W40" i="104"/>
  <c r="W15" i="104"/>
  <c r="W39" i="104"/>
  <c r="H7" i="104"/>
  <c r="I8" i="104"/>
  <c r="W21" i="104"/>
  <c r="W22" i="104"/>
  <c r="W37" i="104"/>
  <c r="W45" i="104"/>
  <c r="V37" i="104"/>
  <c r="V45" i="104"/>
  <c r="V21" i="104"/>
  <c r="V22" i="104"/>
  <c r="J8" i="104"/>
  <c r="I7" i="104"/>
  <c r="J7" i="104"/>
  <c r="K8" i="104"/>
  <c r="L8" i="104"/>
  <c r="K7" i="104"/>
  <c r="L7" i="104"/>
  <c r="M8" i="104"/>
  <c r="N8" i="104"/>
  <c r="M7" i="104"/>
  <c r="G23" i="33"/>
  <c r="G34" i="33"/>
  <c r="N7" i="104"/>
  <c r="O8" i="104"/>
  <c r="P8" i="104"/>
  <c r="Q8" i="104"/>
  <c r="O7" i="104"/>
  <c r="D12" i="103"/>
  <c r="C12" i="103"/>
  <c r="B12" i="103"/>
  <c r="D6" i="103"/>
  <c r="C6" i="103"/>
  <c r="B6" i="103"/>
  <c r="Q7" i="104"/>
  <c r="R8" i="104"/>
  <c r="P7" i="104"/>
  <c r="R7" i="104"/>
  <c r="S8" i="104"/>
  <c r="O7" i="80"/>
  <c r="C27" i="80"/>
  <c r="S7" i="104"/>
  <c r="T8" i="104"/>
  <c r="I7" i="38"/>
  <c r="J7" i="38"/>
  <c r="K7" i="38"/>
  <c r="L7" i="38"/>
  <c r="M7" i="38"/>
  <c r="N7" i="38"/>
  <c r="O7" i="38"/>
  <c r="P7" i="38"/>
  <c r="Q7" i="38"/>
  <c r="R7" i="38"/>
  <c r="S7" i="38"/>
  <c r="T7" i="38"/>
  <c r="U7" i="38"/>
  <c r="V7" i="38"/>
  <c r="W7" i="38"/>
  <c r="X7" i="38"/>
  <c r="C6" i="38"/>
  <c r="T7" i="104"/>
  <c r="U8" i="104"/>
  <c r="B26" i="71"/>
  <c r="U7" i="104"/>
  <c r="V8" i="104"/>
  <c r="B38" i="104"/>
  <c r="B48" i="104"/>
  <c r="C13" i="80"/>
  <c r="V7" i="104"/>
  <c r="W8" i="104"/>
  <c r="W7" i="104"/>
  <c r="G51" i="56"/>
  <c r="G31" i="56"/>
  <c r="G49" i="56"/>
  <c r="G33" i="56"/>
  <c r="L14" i="56"/>
  <c r="L33" i="71"/>
  <c r="L32" i="71"/>
  <c r="L31" i="71"/>
  <c r="L30" i="71"/>
  <c r="B29" i="78"/>
  <c r="Q33" i="47"/>
  <c r="N33" i="47"/>
  <c r="N37" i="47"/>
  <c r="Y27" i="44"/>
  <c r="Z27" i="44"/>
  <c r="G18" i="71"/>
  <c r="J30" i="44"/>
  <c r="G15" i="71"/>
  <c r="J29" i="44"/>
  <c r="C28" i="80"/>
  <c r="G7" i="71"/>
  <c r="G9" i="71"/>
  <c r="Q37" i="47"/>
  <c r="G35" i="56"/>
  <c r="G53" i="56"/>
  <c r="L29" i="71"/>
  <c r="L13" i="56"/>
  <c r="E7" i="56"/>
  <c r="E9" i="56"/>
  <c r="I9" i="80"/>
  <c r="B32" i="80"/>
  <c r="E10" i="56"/>
  <c r="B36" i="80"/>
  <c r="B23" i="80"/>
  <c r="D30" i="78"/>
  <c r="A1" i="71"/>
  <c r="A2" i="71"/>
  <c r="B2" i="108"/>
  <c r="A3" i="71"/>
  <c r="B1" i="56"/>
  <c r="B2" i="56"/>
  <c r="B3" i="56"/>
  <c r="B1" i="38"/>
  <c r="B2" i="38"/>
  <c r="B3" i="38"/>
  <c r="B1" i="80"/>
  <c r="B2" i="80"/>
  <c r="B3" i="80"/>
  <c r="B1" i="78"/>
  <c r="B2" i="78"/>
  <c r="D2" i="106"/>
  <c r="B3" i="78"/>
  <c r="B1" i="108"/>
  <c r="D1" i="106"/>
  <c r="C29" i="80"/>
  <c r="C10" i="80"/>
  <c r="D11" i="104"/>
  <c r="C30" i="80"/>
  <c r="D18" i="104"/>
  <c r="D42" i="104"/>
  <c r="D16" i="104"/>
  <c r="D40" i="104"/>
  <c r="D17" i="104"/>
  <c r="D41" i="104"/>
  <c r="D15" i="104"/>
  <c r="D39" i="104"/>
  <c r="D20" i="104"/>
  <c r="D44" i="104"/>
  <c r="D19" i="104"/>
  <c r="D43" i="104"/>
  <c r="D14" i="104"/>
  <c r="D38" i="104"/>
  <c r="D13" i="104"/>
  <c r="D37" i="104"/>
  <c r="E11" i="104"/>
  <c r="C31" i="80"/>
  <c r="D25" i="78"/>
  <c r="E25" i="78"/>
  <c r="F25" i="78"/>
  <c r="G25" i="78"/>
  <c r="H25" i="78"/>
  <c r="I25" i="78"/>
  <c r="J25" i="78"/>
  <c r="K25" i="78"/>
  <c r="L25" i="78"/>
  <c r="M25" i="78"/>
  <c r="N25" i="78"/>
  <c r="O25" i="78"/>
  <c r="P25" i="78"/>
  <c r="Q25" i="78"/>
  <c r="R25" i="78"/>
  <c r="S25" i="78"/>
  <c r="T25" i="78"/>
  <c r="U25" i="78"/>
  <c r="V25" i="78"/>
  <c r="D28" i="78"/>
  <c r="E18" i="104"/>
  <c r="E42" i="104"/>
  <c r="E16" i="104"/>
  <c r="E40" i="104"/>
  <c r="E17" i="104"/>
  <c r="E41" i="104"/>
  <c r="E15" i="104"/>
  <c r="E39" i="104"/>
  <c r="E19" i="104"/>
  <c r="E43" i="104"/>
  <c r="E20" i="104"/>
  <c r="E44" i="104"/>
  <c r="D21" i="104"/>
  <c r="D22" i="104"/>
  <c r="B2" i="118"/>
  <c r="B3" i="118"/>
  <c r="B4" i="118"/>
  <c r="B5" i="118"/>
  <c r="B6" i="118"/>
  <c r="B7" i="118"/>
  <c r="B8" i="118"/>
  <c r="B9" i="118"/>
  <c r="B10" i="118"/>
  <c r="B11" i="118"/>
  <c r="B12" i="118"/>
  <c r="B13" i="118"/>
  <c r="B14" i="118"/>
  <c r="B15" i="118"/>
  <c r="B16" i="118"/>
  <c r="B17" i="118"/>
  <c r="B18" i="118"/>
  <c r="B19" i="118"/>
  <c r="B20" i="118"/>
  <c r="B21" i="118"/>
  <c r="E14" i="104"/>
  <c r="E38" i="104"/>
  <c r="E13" i="104"/>
  <c r="E37" i="104"/>
  <c r="F11" i="104"/>
  <c r="C32" i="80"/>
  <c r="E28" i="78"/>
  <c r="F28" i="78"/>
  <c r="G28" i="78"/>
  <c r="H28" i="78"/>
  <c r="I28" i="78"/>
  <c r="J28" i="78"/>
  <c r="K28" i="78"/>
  <c r="L28" i="78"/>
  <c r="M28" i="78"/>
  <c r="N28" i="78"/>
  <c r="O28" i="78"/>
  <c r="P28" i="78"/>
  <c r="Q28" i="78"/>
  <c r="R28" i="78"/>
  <c r="S28" i="78"/>
  <c r="T28" i="78"/>
  <c r="U28" i="78"/>
  <c r="V28" i="78"/>
  <c r="C18" i="80"/>
  <c r="C26" i="80"/>
  <c r="K6" i="51"/>
  <c r="D6" i="51"/>
  <c r="D7" i="51"/>
  <c r="D8" i="51"/>
  <c r="D9" i="51"/>
  <c r="D10" i="51"/>
  <c r="D11" i="51"/>
  <c r="D12" i="51"/>
  <c r="D13" i="51"/>
  <c r="D14" i="51"/>
  <c r="D15" i="51"/>
  <c r="D16" i="51"/>
  <c r="D17" i="51"/>
  <c r="D18" i="51"/>
  <c r="D19" i="51"/>
  <c r="D20" i="51"/>
  <c r="D21" i="51"/>
  <c r="D22" i="51"/>
  <c r="D23" i="51"/>
  <c r="D24" i="51"/>
  <c r="D25" i="51"/>
  <c r="D26" i="51"/>
  <c r="D27" i="51"/>
  <c r="D28" i="51"/>
  <c r="D29" i="51"/>
  <c r="C30" i="51"/>
  <c r="C31" i="51"/>
  <c r="D5" i="51"/>
  <c r="C23" i="118"/>
  <c r="C24" i="118"/>
  <c r="C25" i="118"/>
  <c r="C26" i="118"/>
  <c r="B22" i="118"/>
  <c r="B23" i="118"/>
  <c r="B24" i="118"/>
  <c r="B25" i="118"/>
  <c r="B26" i="118"/>
  <c r="F18" i="104"/>
  <c r="F52" i="104"/>
  <c r="F20" i="104"/>
  <c r="F14" i="104"/>
  <c r="F48" i="104"/>
  <c r="F17" i="104"/>
  <c r="F16" i="104"/>
  <c r="F19" i="104"/>
  <c r="F15" i="104"/>
  <c r="F49" i="104"/>
  <c r="E21" i="104"/>
  <c r="E22" i="104"/>
  <c r="G11" i="104"/>
  <c r="F13" i="104"/>
  <c r="D26" i="80"/>
  <c r="E26" i="80"/>
  <c r="F26" i="80"/>
  <c r="G26" i="80"/>
  <c r="H26" i="80"/>
  <c r="I26" i="80"/>
  <c r="J26" i="80"/>
  <c r="K26" i="80"/>
  <c r="L26" i="80"/>
  <c r="M26" i="80"/>
  <c r="N26" i="80"/>
  <c r="O26" i="80"/>
  <c r="P26" i="80"/>
  <c r="Q26" i="80"/>
  <c r="R26" i="80"/>
  <c r="S26" i="80"/>
  <c r="T26" i="80"/>
  <c r="U26" i="80"/>
  <c r="V26" i="80"/>
  <c r="W26" i="80"/>
  <c r="X26" i="80"/>
  <c r="Y26" i="80"/>
  <c r="Z26" i="80"/>
  <c r="AA26" i="80"/>
  <c r="AB26" i="80"/>
  <c r="D34" i="78"/>
  <c r="E34" i="78"/>
  <c r="E30" i="78"/>
  <c r="F37" i="104"/>
  <c r="F47" i="104"/>
  <c r="F43" i="104"/>
  <c r="F53" i="104"/>
  <c r="H53" i="104"/>
  <c r="F44" i="104"/>
  <c r="F54" i="104"/>
  <c r="F40" i="104"/>
  <c r="F50" i="104"/>
  <c r="F41" i="104"/>
  <c r="F51" i="104"/>
  <c r="F39" i="104"/>
  <c r="F38" i="104"/>
  <c r="F42" i="104"/>
  <c r="G18" i="104"/>
  <c r="G42" i="104"/>
  <c r="G19" i="104"/>
  <c r="G43" i="104"/>
  <c r="G16" i="104"/>
  <c r="G40" i="104"/>
  <c r="G14" i="104"/>
  <c r="G38" i="104"/>
  <c r="G20" i="104"/>
  <c r="G44" i="104"/>
  <c r="G15" i="104"/>
  <c r="G39" i="104"/>
  <c r="G17" i="104"/>
  <c r="G41" i="104"/>
  <c r="G13" i="104"/>
  <c r="G37" i="104"/>
  <c r="F21" i="104"/>
  <c r="H11" i="104"/>
  <c r="AC26" i="80"/>
  <c r="D18" i="80"/>
  <c r="F34" i="78"/>
  <c r="E18" i="80"/>
  <c r="F30" i="78"/>
  <c r="H6" i="71"/>
  <c r="B40" i="56"/>
  <c r="B58" i="56"/>
  <c r="B39" i="56"/>
  <c r="B57" i="56"/>
  <c r="F24" i="56"/>
  <c r="C25" i="56"/>
  <c r="C43" i="56"/>
  <c r="L32" i="56"/>
  <c r="K33" i="56"/>
  <c r="K51" i="56"/>
  <c r="H9" i="71"/>
  <c r="H7" i="71"/>
  <c r="H18" i="104"/>
  <c r="H42" i="104"/>
  <c r="H16" i="104"/>
  <c r="H40" i="104"/>
  <c r="H14" i="104"/>
  <c r="H38" i="104"/>
  <c r="H17" i="104"/>
  <c r="H41" i="104"/>
  <c r="H20" i="104"/>
  <c r="H44" i="104"/>
  <c r="H15" i="104"/>
  <c r="H39" i="104"/>
  <c r="H19" i="104"/>
  <c r="H43" i="104"/>
  <c r="F55" i="104"/>
  <c r="G21" i="104"/>
  <c r="G22" i="104"/>
  <c r="H13" i="104"/>
  <c r="H37" i="104"/>
  <c r="F22" i="104"/>
  <c r="I11" i="104"/>
  <c r="L50" i="56"/>
  <c r="G24" i="56"/>
  <c r="G34" i="78"/>
  <c r="F18" i="80"/>
  <c r="G30" i="78"/>
  <c r="I6" i="71"/>
  <c r="H21" i="71"/>
  <c r="F42" i="56"/>
  <c r="L49" i="56"/>
  <c r="L31" i="56"/>
  <c r="F6" i="56"/>
  <c r="O72" i="18"/>
  <c r="O71" i="18"/>
  <c r="O70" i="18"/>
  <c r="O69" i="18"/>
  <c r="O68" i="18"/>
  <c r="O67" i="18"/>
  <c r="O66" i="18"/>
  <c r="O65" i="18"/>
  <c r="O64" i="18"/>
  <c r="O63" i="18"/>
  <c r="O50" i="18"/>
  <c r="O41" i="18"/>
  <c r="O49" i="18"/>
  <c r="O43" i="18"/>
  <c r="O44" i="18"/>
  <c r="O45" i="18"/>
  <c r="O46" i="18"/>
  <c r="O47" i="18"/>
  <c r="O48" i="18"/>
  <c r="O42" i="18"/>
  <c r="N19" i="46"/>
  <c r="L12" i="46"/>
  <c r="I12" i="46"/>
  <c r="J12" i="46"/>
  <c r="M12" i="46"/>
  <c r="I8" i="46"/>
  <c r="J8" i="46"/>
  <c r="E17" i="45"/>
  <c r="G43" i="45"/>
  <c r="I47" i="45"/>
  <c r="C36" i="45"/>
  <c r="B38" i="45"/>
  <c r="C38" i="45"/>
  <c r="M23" i="47"/>
  <c r="N23" i="47"/>
  <c r="M24" i="47"/>
  <c r="N24" i="47"/>
  <c r="M22" i="47"/>
  <c r="N22" i="47"/>
  <c r="I30" i="46"/>
  <c r="J30" i="46"/>
  <c r="E23" i="71"/>
  <c r="I31" i="46"/>
  <c r="I32" i="46"/>
  <c r="J32" i="46"/>
  <c r="I33" i="46"/>
  <c r="J33" i="46"/>
  <c r="I34" i="46"/>
  <c r="J34" i="46"/>
  <c r="I35" i="46"/>
  <c r="J35" i="46"/>
  <c r="I36" i="46"/>
  <c r="J36" i="46"/>
  <c r="I37" i="46"/>
  <c r="J37" i="46"/>
  <c r="I29" i="46"/>
  <c r="J29" i="46"/>
  <c r="E22" i="71"/>
  <c r="I28" i="46"/>
  <c r="J28" i="46"/>
  <c r="E24" i="71"/>
  <c r="I27" i="46"/>
  <c r="J27" i="46"/>
  <c r="I26" i="46"/>
  <c r="J26" i="46"/>
  <c r="I25" i="46"/>
  <c r="J25" i="46"/>
  <c r="I24" i="46"/>
  <c r="J24" i="46"/>
  <c r="I23" i="46"/>
  <c r="J23" i="46"/>
  <c r="I22" i="46"/>
  <c r="J22" i="46"/>
  <c r="I13" i="46"/>
  <c r="J13" i="46"/>
  <c r="I14" i="46"/>
  <c r="J14" i="46"/>
  <c r="I15" i="46"/>
  <c r="J15" i="46"/>
  <c r="I16" i="46"/>
  <c r="J16" i="46"/>
  <c r="I17" i="46"/>
  <c r="J17" i="46"/>
  <c r="I18" i="46"/>
  <c r="J18" i="46"/>
  <c r="I19" i="46"/>
  <c r="J19" i="46"/>
  <c r="G4" i="45"/>
  <c r="J31" i="44"/>
  <c r="G16" i="71"/>
  <c r="J32" i="44"/>
  <c r="J33" i="44"/>
  <c r="J34" i="44"/>
  <c r="J35" i="44"/>
  <c r="J36" i="44"/>
  <c r="G17" i="71"/>
  <c r="J37" i="44"/>
  <c r="J38" i="44"/>
  <c r="J28" i="44"/>
  <c r="J27" i="44"/>
  <c r="J26" i="44"/>
  <c r="J25" i="44"/>
  <c r="J24" i="44"/>
  <c r="J23" i="44"/>
  <c r="J14" i="44"/>
  <c r="J15" i="44"/>
  <c r="J16" i="44"/>
  <c r="J17" i="44"/>
  <c r="J18" i="44"/>
  <c r="J19" i="44"/>
  <c r="J20" i="44"/>
  <c r="J13" i="44"/>
  <c r="O35" i="18"/>
  <c r="O27" i="18"/>
  <c r="O28" i="18"/>
  <c r="O29" i="18"/>
  <c r="O30" i="18"/>
  <c r="O31" i="18"/>
  <c r="O32" i="18"/>
  <c r="O33" i="18"/>
  <c r="O34" i="18"/>
  <c r="O26" i="18"/>
  <c r="G24" i="71"/>
  <c r="H24" i="71"/>
  <c r="I24" i="71"/>
  <c r="I9" i="71"/>
  <c r="I7" i="71"/>
  <c r="G8" i="71"/>
  <c r="H8" i="71"/>
  <c r="H10" i="71"/>
  <c r="I8" i="71"/>
  <c r="G22" i="71"/>
  <c r="H22" i="71"/>
  <c r="I22" i="71"/>
  <c r="G23" i="71"/>
  <c r="H23" i="71"/>
  <c r="I23" i="71"/>
  <c r="F9" i="56"/>
  <c r="F8" i="56"/>
  <c r="F7" i="56"/>
  <c r="F43" i="56"/>
  <c r="F44" i="56"/>
  <c r="E45" i="56"/>
  <c r="F45" i="56"/>
  <c r="E43" i="56"/>
  <c r="G25" i="56"/>
  <c r="E27" i="56"/>
  <c r="H24" i="56"/>
  <c r="H25" i="56"/>
  <c r="E25" i="56"/>
  <c r="H27" i="56"/>
  <c r="F26" i="56"/>
  <c r="G26" i="56"/>
  <c r="F27" i="56"/>
  <c r="G27" i="56"/>
  <c r="F25" i="56"/>
  <c r="I16" i="104"/>
  <c r="I40" i="104"/>
  <c r="I19" i="104"/>
  <c r="I43" i="104"/>
  <c r="I15" i="104"/>
  <c r="I39" i="104"/>
  <c r="I20" i="104"/>
  <c r="I44" i="104"/>
  <c r="I18" i="104"/>
  <c r="I42" i="104"/>
  <c r="I17" i="104"/>
  <c r="I41" i="104"/>
  <c r="I14" i="104"/>
  <c r="I38" i="104"/>
  <c r="F10" i="38"/>
  <c r="I13" i="104"/>
  <c r="I37" i="104"/>
  <c r="H21" i="104"/>
  <c r="H22" i="104"/>
  <c r="J11" i="104"/>
  <c r="Z6" i="38"/>
  <c r="Z14" i="38"/>
  <c r="H26" i="56"/>
  <c r="G42" i="56"/>
  <c r="G43" i="56"/>
  <c r="G6" i="56"/>
  <c r="J39" i="44"/>
  <c r="H34" i="78"/>
  <c r="G18" i="80"/>
  <c r="H30" i="78"/>
  <c r="J6" i="71"/>
  <c r="J24" i="71"/>
  <c r="I21" i="71"/>
  <c r="I38" i="46"/>
  <c r="I47" i="46"/>
  <c r="I60" i="46"/>
  <c r="J21" i="44"/>
  <c r="O12" i="46"/>
  <c r="O13" i="46"/>
  <c r="P36" i="18"/>
  <c r="I20" i="46"/>
  <c r="N12" i="46"/>
  <c r="P71" i="18"/>
  <c r="J31" i="46"/>
  <c r="J38" i="46"/>
  <c r="H4" i="45"/>
  <c r="P49" i="18"/>
  <c r="O36" i="18"/>
  <c r="K16" i="45"/>
  <c r="J20" i="46"/>
  <c r="C4" i="18"/>
  <c r="C5" i="18"/>
  <c r="C6" i="18"/>
  <c r="C7" i="18"/>
  <c r="C8" i="18"/>
  <c r="C9" i="18"/>
  <c r="C15" i="18"/>
  <c r="C16" i="18"/>
  <c r="C17" i="18"/>
  <c r="C18" i="18"/>
  <c r="C19" i="18"/>
  <c r="C20" i="18"/>
  <c r="I10" i="71"/>
  <c r="I11" i="71"/>
  <c r="E28" i="56"/>
  <c r="G44" i="56"/>
  <c r="G10" i="71"/>
  <c r="F10" i="56"/>
  <c r="J22" i="71"/>
  <c r="G7" i="56"/>
  <c r="G8" i="56"/>
  <c r="G9" i="56"/>
  <c r="I25" i="71"/>
  <c r="G45" i="56"/>
  <c r="G46" i="56"/>
  <c r="H25" i="71"/>
  <c r="J9" i="71"/>
  <c r="J7" i="71"/>
  <c r="J23" i="71"/>
  <c r="J8" i="71"/>
  <c r="G25" i="71"/>
  <c r="F46" i="56"/>
  <c r="E46" i="56"/>
  <c r="H28" i="56"/>
  <c r="F28" i="56"/>
  <c r="G28" i="56"/>
  <c r="J16" i="104"/>
  <c r="J40" i="104"/>
  <c r="J14" i="104"/>
  <c r="J38" i="104"/>
  <c r="J17" i="104"/>
  <c r="J41" i="104"/>
  <c r="J19" i="104"/>
  <c r="J43" i="104"/>
  <c r="J18" i="104"/>
  <c r="J42" i="104"/>
  <c r="J15" i="104"/>
  <c r="J39" i="104"/>
  <c r="J20" i="104"/>
  <c r="J44" i="104"/>
  <c r="J13" i="104"/>
  <c r="J37" i="104"/>
  <c r="I21" i="104"/>
  <c r="I22" i="104"/>
  <c r="E10" i="38"/>
  <c r="K11" i="104"/>
  <c r="H11" i="71"/>
  <c r="B29" i="33"/>
  <c r="B40" i="33"/>
  <c r="B27" i="33"/>
  <c r="B38" i="33"/>
  <c r="B26" i="33"/>
  <c r="B37" i="33"/>
  <c r="L34" i="71"/>
  <c r="I24" i="56"/>
  <c r="H42" i="56"/>
  <c r="H6" i="56"/>
  <c r="I34" i="78"/>
  <c r="H18" i="80"/>
  <c r="I30" i="78"/>
  <c r="K6" i="71"/>
  <c r="J21" i="71"/>
  <c r="E5" i="45"/>
  <c r="B35" i="33"/>
  <c r="K14" i="45"/>
  <c r="I61" i="46"/>
  <c r="I62" i="46"/>
  <c r="I4" i="45"/>
  <c r="J47" i="46"/>
  <c r="D19" i="18"/>
  <c r="D9" i="18"/>
  <c r="D8" i="18"/>
  <c r="D20" i="18"/>
  <c r="H43" i="56"/>
  <c r="H45" i="56"/>
  <c r="H44" i="56"/>
  <c r="I27" i="56"/>
  <c r="I25" i="56"/>
  <c r="I26" i="56"/>
  <c r="J25" i="71"/>
  <c r="J10" i="71"/>
  <c r="J11" i="71"/>
  <c r="K9" i="71"/>
  <c r="K7" i="71"/>
  <c r="K8" i="71"/>
  <c r="K23" i="71"/>
  <c r="K24" i="71"/>
  <c r="K22" i="71"/>
  <c r="H7" i="56"/>
  <c r="H8" i="56"/>
  <c r="H9" i="56"/>
  <c r="G10" i="56"/>
  <c r="K17" i="104"/>
  <c r="K41" i="104"/>
  <c r="K19" i="104"/>
  <c r="K43" i="104"/>
  <c r="K20" i="104"/>
  <c r="K44" i="104"/>
  <c r="K16" i="104"/>
  <c r="K40" i="104"/>
  <c r="K18" i="104"/>
  <c r="K42" i="104"/>
  <c r="K14" i="104"/>
  <c r="K38" i="104"/>
  <c r="K15" i="104"/>
  <c r="K39" i="104"/>
  <c r="B42" i="104"/>
  <c r="B52" i="104"/>
  <c r="B39" i="104"/>
  <c r="B49" i="104"/>
  <c r="B54" i="104"/>
  <c r="B37" i="104"/>
  <c r="B47" i="104"/>
  <c r="K13" i="104"/>
  <c r="K37" i="104"/>
  <c r="J21" i="104"/>
  <c r="J22" i="104"/>
  <c r="G11" i="71"/>
  <c r="L11" i="104"/>
  <c r="H10" i="38"/>
  <c r="B28" i="33"/>
  <c r="B39" i="33"/>
  <c r="J24" i="56"/>
  <c r="I42" i="56"/>
  <c r="I6" i="56"/>
  <c r="J34" i="78"/>
  <c r="I18" i="80"/>
  <c r="J30" i="78"/>
  <c r="L6" i="71"/>
  <c r="K21" i="71"/>
  <c r="B24" i="33"/>
  <c r="J4" i="45"/>
  <c r="J60" i="46"/>
  <c r="J61" i="46"/>
  <c r="I28" i="56"/>
  <c r="I7" i="56"/>
  <c r="I8" i="56"/>
  <c r="I9" i="56"/>
  <c r="I45" i="56"/>
  <c r="I44" i="56"/>
  <c r="I43" i="56"/>
  <c r="H10" i="56"/>
  <c r="J25" i="56"/>
  <c r="J27" i="56"/>
  <c r="J26" i="56"/>
  <c r="K25" i="71"/>
  <c r="H46" i="56"/>
  <c r="L9" i="71"/>
  <c r="L7" i="71"/>
  <c r="L22" i="71"/>
  <c r="L8" i="71"/>
  <c r="L23" i="71"/>
  <c r="L24" i="71"/>
  <c r="K10" i="71"/>
  <c r="K11" i="71"/>
  <c r="L20" i="104"/>
  <c r="L44" i="104"/>
  <c r="L18" i="104"/>
  <c r="L42" i="104"/>
  <c r="L15" i="104"/>
  <c r="L39" i="104"/>
  <c r="L19" i="104"/>
  <c r="L43" i="104"/>
  <c r="L17" i="104"/>
  <c r="L41" i="104"/>
  <c r="L14" i="104"/>
  <c r="L38" i="104"/>
  <c r="L16" i="104"/>
  <c r="L40" i="104"/>
  <c r="L13" i="104"/>
  <c r="L37" i="104"/>
  <c r="K21" i="104"/>
  <c r="K22" i="104"/>
  <c r="G10" i="38"/>
  <c r="M11" i="104"/>
  <c r="K24" i="56"/>
  <c r="J42" i="56"/>
  <c r="J6" i="56"/>
  <c r="K34" i="78"/>
  <c r="J18" i="80"/>
  <c r="K30" i="78"/>
  <c r="M6" i="71"/>
  <c r="L21" i="71"/>
  <c r="K4" i="45"/>
  <c r="J62" i="46"/>
  <c r="I46" i="56"/>
  <c r="J45" i="56"/>
  <c r="J44" i="56"/>
  <c r="J43" i="56"/>
  <c r="L10" i="71"/>
  <c r="L11" i="71"/>
  <c r="K26" i="56"/>
  <c r="K25" i="56"/>
  <c r="K27" i="56"/>
  <c r="M9" i="71"/>
  <c r="M7" i="71"/>
  <c r="M22" i="71"/>
  <c r="M8" i="71"/>
  <c r="M23" i="71"/>
  <c r="M24" i="71"/>
  <c r="J8" i="56"/>
  <c r="J7" i="56"/>
  <c r="J9" i="56"/>
  <c r="L25" i="71"/>
  <c r="I10" i="56"/>
  <c r="J28" i="56"/>
  <c r="M15" i="104"/>
  <c r="M39" i="104"/>
  <c r="M20" i="104"/>
  <c r="M44" i="104"/>
  <c r="M16" i="104"/>
  <c r="M40" i="104"/>
  <c r="M19" i="104"/>
  <c r="M43" i="104"/>
  <c r="M17" i="104"/>
  <c r="M41" i="104"/>
  <c r="M14" i="104"/>
  <c r="M38" i="104"/>
  <c r="M18" i="104"/>
  <c r="M42" i="104"/>
  <c r="M13" i="104"/>
  <c r="M37" i="104"/>
  <c r="L21" i="104"/>
  <c r="L22" i="104"/>
  <c r="J26" i="71"/>
  <c r="K26" i="71"/>
  <c r="I26" i="71"/>
  <c r="H26" i="71"/>
  <c r="N11" i="104"/>
  <c r="L24" i="56"/>
  <c r="K42" i="56"/>
  <c r="K6" i="56"/>
  <c r="L34" i="78"/>
  <c r="K18" i="80"/>
  <c r="L30" i="78"/>
  <c r="N6" i="71"/>
  <c r="M21" i="71"/>
  <c r="L4" i="45"/>
  <c r="M25" i="71"/>
  <c r="M26" i="71"/>
  <c r="K43" i="56"/>
  <c r="K45" i="56"/>
  <c r="K44" i="56"/>
  <c r="L25" i="56"/>
  <c r="L27" i="56"/>
  <c r="L26" i="56"/>
  <c r="J10" i="56"/>
  <c r="J46" i="56"/>
  <c r="N9" i="71"/>
  <c r="N7" i="71"/>
  <c r="N22" i="71"/>
  <c r="N8" i="71"/>
  <c r="N23" i="71"/>
  <c r="N24" i="71"/>
  <c r="K28" i="56"/>
  <c r="M10" i="71"/>
  <c r="M11" i="71"/>
  <c r="K7" i="56"/>
  <c r="K8" i="56"/>
  <c r="K9" i="56"/>
  <c r="N18" i="104"/>
  <c r="N42" i="104"/>
  <c r="N14" i="104"/>
  <c r="N38" i="104"/>
  <c r="N17" i="104"/>
  <c r="N41" i="104"/>
  <c r="N20" i="104"/>
  <c r="N44" i="104"/>
  <c r="N16" i="104"/>
  <c r="N40" i="104"/>
  <c r="N19" i="104"/>
  <c r="N43" i="104"/>
  <c r="N15" i="104"/>
  <c r="N39" i="104"/>
  <c r="L26" i="71"/>
  <c r="N13" i="104"/>
  <c r="N37" i="104"/>
  <c r="M21" i="104"/>
  <c r="M22" i="104"/>
  <c r="O11" i="104"/>
  <c r="M24" i="56"/>
  <c r="L42" i="56"/>
  <c r="L6" i="56"/>
  <c r="M34" i="78"/>
  <c r="L18" i="80"/>
  <c r="M30" i="78"/>
  <c r="N21" i="71"/>
  <c r="O6" i="71"/>
  <c r="F5" i="45"/>
  <c r="H5" i="45"/>
  <c r="J5" i="45"/>
  <c r="L5" i="45"/>
  <c r="G5" i="45"/>
  <c r="I5" i="45"/>
  <c r="K5" i="45"/>
  <c r="M4" i="45"/>
  <c r="M5" i="45"/>
  <c r="N10" i="71"/>
  <c r="N11" i="71"/>
  <c r="L43" i="56"/>
  <c r="L45" i="56"/>
  <c r="L44" i="56"/>
  <c r="O7" i="71"/>
  <c r="O9" i="71"/>
  <c r="O24" i="71"/>
  <c r="O22" i="71"/>
  <c r="O8" i="71"/>
  <c r="O23" i="71"/>
  <c r="K10" i="56"/>
  <c r="N25" i="71"/>
  <c r="K46" i="56"/>
  <c r="M26" i="56"/>
  <c r="M27" i="56"/>
  <c r="M25" i="56"/>
  <c r="L28" i="56"/>
  <c r="L7" i="56"/>
  <c r="L9" i="56"/>
  <c r="L8" i="56"/>
  <c r="O15" i="104"/>
  <c r="O39" i="104"/>
  <c r="O18" i="104"/>
  <c r="O42" i="104"/>
  <c r="O19" i="104"/>
  <c r="O43" i="104"/>
  <c r="O16" i="104"/>
  <c r="O40" i="104"/>
  <c r="O14" i="104"/>
  <c r="O38" i="104"/>
  <c r="O17" i="104"/>
  <c r="O41" i="104"/>
  <c r="O20" i="104"/>
  <c r="O44" i="104"/>
  <c r="N21" i="104"/>
  <c r="N22" i="104"/>
  <c r="G26" i="71"/>
  <c r="O13" i="104"/>
  <c r="O37" i="104"/>
  <c r="P11" i="104"/>
  <c r="N26" i="71"/>
  <c r="N24" i="56"/>
  <c r="M42" i="56"/>
  <c r="M6" i="56"/>
  <c r="N34" i="78"/>
  <c r="M18" i="80"/>
  <c r="N30" i="78"/>
  <c r="O21" i="71"/>
  <c r="P6" i="71"/>
  <c r="N4" i="45"/>
  <c r="N5" i="45"/>
  <c r="E18" i="45"/>
  <c r="M28" i="56"/>
  <c r="O25" i="71"/>
  <c r="O26" i="71"/>
  <c r="M9" i="56"/>
  <c r="M7" i="56"/>
  <c r="M8" i="56"/>
  <c r="O10" i="71"/>
  <c r="O11" i="71"/>
  <c r="N27" i="56"/>
  <c r="N26" i="56"/>
  <c r="N25" i="56"/>
  <c r="L10" i="56"/>
  <c r="L46" i="56"/>
  <c r="P7" i="71"/>
  <c r="P9" i="71"/>
  <c r="P24" i="71"/>
  <c r="P8" i="71"/>
  <c r="P22" i="71"/>
  <c r="P23" i="71"/>
  <c r="M45" i="56"/>
  <c r="M44" i="56"/>
  <c r="M43" i="56"/>
  <c r="P18" i="104"/>
  <c r="P42" i="104"/>
  <c r="P16" i="104"/>
  <c r="P40" i="104"/>
  <c r="P15" i="104"/>
  <c r="P39" i="104"/>
  <c r="P14" i="104"/>
  <c r="P38" i="104"/>
  <c r="P19" i="104"/>
  <c r="P43" i="104"/>
  <c r="P17" i="104"/>
  <c r="P41" i="104"/>
  <c r="P20" i="104"/>
  <c r="P44" i="104"/>
  <c r="P13" i="104"/>
  <c r="P37" i="104"/>
  <c r="O21" i="104"/>
  <c r="O22" i="104"/>
  <c r="O24" i="56"/>
  <c r="N42" i="56"/>
  <c r="N6" i="56"/>
  <c r="O34" i="78"/>
  <c r="P34" i="78"/>
  <c r="Q34" i="78"/>
  <c r="R34" i="78"/>
  <c r="S34" i="78"/>
  <c r="T34" i="78"/>
  <c r="U34" i="78"/>
  <c r="V34" i="78"/>
  <c r="N18" i="80"/>
  <c r="O30" i="78"/>
  <c r="P21" i="71"/>
  <c r="Q6" i="71"/>
  <c r="O4" i="45"/>
  <c r="O5" i="45"/>
  <c r="P25" i="71"/>
  <c r="P26" i="71"/>
  <c r="N28" i="56"/>
  <c r="M10" i="56"/>
  <c r="Q7" i="71"/>
  <c r="Q9" i="71"/>
  <c r="Q8" i="71"/>
  <c r="Q10" i="71"/>
  <c r="Q23" i="71"/>
  <c r="Q24" i="71"/>
  <c r="Q22" i="71"/>
  <c r="P10" i="71"/>
  <c r="P11" i="71"/>
  <c r="N7" i="56"/>
  <c r="N8" i="56"/>
  <c r="N9" i="56"/>
  <c r="M46" i="56"/>
  <c r="N45" i="56"/>
  <c r="N44" i="56"/>
  <c r="N43" i="56"/>
  <c r="O27" i="56"/>
  <c r="O25" i="56"/>
  <c r="O26" i="56"/>
  <c r="P21" i="104"/>
  <c r="P22" i="104"/>
  <c r="P24" i="56"/>
  <c r="O42" i="56"/>
  <c r="O6" i="56"/>
  <c r="O18" i="80"/>
  <c r="Q21" i="71"/>
  <c r="R6" i="71"/>
  <c r="P4" i="45"/>
  <c r="P5" i="45"/>
  <c r="N46" i="56"/>
  <c r="R9" i="71"/>
  <c r="R7" i="71"/>
  <c r="R8" i="71"/>
  <c r="R23" i="71"/>
  <c r="R24" i="71"/>
  <c r="R22" i="71"/>
  <c r="Q25" i="71"/>
  <c r="Q26" i="71"/>
  <c r="O7" i="56"/>
  <c r="O8" i="56"/>
  <c r="O9" i="56"/>
  <c r="N10" i="56"/>
  <c r="P25" i="56"/>
  <c r="P27" i="56"/>
  <c r="P26" i="56"/>
  <c r="O28" i="56"/>
  <c r="O43" i="56"/>
  <c r="O44" i="56"/>
  <c r="O45" i="56"/>
  <c r="X19" i="104"/>
  <c r="X43" i="104"/>
  <c r="Y19" i="104"/>
  <c r="Y43" i="104"/>
  <c r="X16" i="104"/>
  <c r="Y16" i="104"/>
  <c r="Y17" i="104"/>
  <c r="X17" i="104"/>
  <c r="Q11" i="71"/>
  <c r="Q24" i="56"/>
  <c r="P42" i="56"/>
  <c r="P6" i="56"/>
  <c r="P18" i="80"/>
  <c r="R21" i="71"/>
  <c r="S6" i="71"/>
  <c r="Q4" i="45"/>
  <c r="Q5" i="45"/>
  <c r="O46" i="56"/>
  <c r="O10" i="56"/>
  <c r="S9" i="71"/>
  <c r="S7" i="71"/>
  <c r="S8" i="71"/>
  <c r="S10" i="71"/>
  <c r="S23" i="71"/>
  <c r="S24" i="71"/>
  <c r="S22" i="71"/>
  <c r="P28" i="56"/>
  <c r="R25" i="71"/>
  <c r="Q27" i="56"/>
  <c r="Q25" i="56"/>
  <c r="Q26" i="56"/>
  <c r="R10" i="71"/>
  <c r="R11" i="71"/>
  <c r="P9" i="56"/>
  <c r="P7" i="56"/>
  <c r="P8" i="56"/>
  <c r="P44" i="56"/>
  <c r="P43" i="56"/>
  <c r="P45" i="56"/>
  <c r="X18" i="104"/>
  <c r="Y18" i="104"/>
  <c r="X14" i="104"/>
  <c r="Y14" i="104"/>
  <c r="X13" i="104"/>
  <c r="Y13" i="104"/>
  <c r="Y15" i="104"/>
  <c r="X15" i="104"/>
  <c r="X20" i="104"/>
  <c r="Y20" i="104"/>
  <c r="R26" i="71"/>
  <c r="R24" i="56"/>
  <c r="Q42" i="56"/>
  <c r="Q6" i="56"/>
  <c r="Q18" i="80"/>
  <c r="S21" i="71"/>
  <c r="T6" i="71"/>
  <c r="R4" i="45"/>
  <c r="R5" i="45"/>
  <c r="P10" i="56"/>
  <c r="S25" i="71"/>
  <c r="S26" i="71"/>
  <c r="Q28" i="56"/>
  <c r="P46" i="56"/>
  <c r="T9" i="71"/>
  <c r="T7" i="71"/>
  <c r="T22" i="71"/>
  <c r="T8" i="71"/>
  <c r="T23" i="71"/>
  <c r="T24" i="71"/>
  <c r="Q7" i="56"/>
  <c r="Q9" i="56"/>
  <c r="Q8" i="56"/>
  <c r="Q45" i="56"/>
  <c r="Q44" i="56"/>
  <c r="Q43" i="56"/>
  <c r="R26" i="56"/>
  <c r="R25" i="56"/>
  <c r="R27" i="56"/>
  <c r="U6" i="71"/>
  <c r="S9" i="38"/>
  <c r="Y21" i="104"/>
  <c r="X21" i="104"/>
  <c r="S11" i="71"/>
  <c r="S18" i="80"/>
  <c r="S24" i="56"/>
  <c r="R42" i="56"/>
  <c r="R6" i="56"/>
  <c r="R18" i="80"/>
  <c r="T21" i="71"/>
  <c r="S4" i="45"/>
  <c r="S5" i="45"/>
  <c r="T10" i="71"/>
  <c r="T11" i="71"/>
  <c r="Q46" i="56"/>
  <c r="Q10" i="56"/>
  <c r="R28" i="56"/>
  <c r="T25" i="71"/>
  <c r="T26" i="71"/>
  <c r="S25" i="56"/>
  <c r="S26" i="56"/>
  <c r="S27" i="56"/>
  <c r="R7" i="56"/>
  <c r="R8" i="56"/>
  <c r="R9" i="56"/>
  <c r="R44" i="56"/>
  <c r="R45" i="56"/>
  <c r="R43" i="56"/>
  <c r="V6" i="71"/>
  <c r="V21" i="71"/>
  <c r="U9" i="71"/>
  <c r="U7" i="71"/>
  <c r="U22" i="71"/>
  <c r="U8" i="71"/>
  <c r="U23" i="71"/>
  <c r="U24" i="71"/>
  <c r="U21" i="71"/>
  <c r="T24" i="56"/>
  <c r="S10" i="38"/>
  <c r="T9" i="38"/>
  <c r="X22" i="104"/>
  <c r="Y22" i="104"/>
  <c r="T18" i="80"/>
  <c r="S42" i="56"/>
  <c r="S6" i="56"/>
  <c r="T4" i="45"/>
  <c r="T5" i="45"/>
  <c r="W6" i="71"/>
  <c r="R46" i="56"/>
  <c r="U10" i="71"/>
  <c r="U11" i="71"/>
  <c r="U12" i="71"/>
  <c r="S12" i="38"/>
  <c r="S28" i="56"/>
  <c r="S43" i="56"/>
  <c r="S44" i="56"/>
  <c r="S45" i="56"/>
  <c r="S7" i="56"/>
  <c r="S9" i="56"/>
  <c r="S8" i="56"/>
  <c r="U25" i="71"/>
  <c r="U26" i="71"/>
  <c r="U27" i="71"/>
  <c r="S11" i="38"/>
  <c r="R10" i="56"/>
  <c r="W7" i="71"/>
  <c r="W9" i="71"/>
  <c r="W24" i="71"/>
  <c r="W22" i="71"/>
  <c r="W8" i="71"/>
  <c r="W23" i="71"/>
  <c r="T27" i="56"/>
  <c r="T25" i="56"/>
  <c r="T26" i="56"/>
  <c r="V9" i="71"/>
  <c r="V7" i="71"/>
  <c r="V22" i="71"/>
  <c r="V8" i="71"/>
  <c r="V23" i="71"/>
  <c r="V24" i="71"/>
  <c r="U24" i="56"/>
  <c r="T6" i="56"/>
  <c r="T42" i="56"/>
  <c r="X6" i="71"/>
  <c r="W21" i="71"/>
  <c r="T10" i="38"/>
  <c r="U9" i="38"/>
  <c r="U18" i="80"/>
  <c r="U4" i="45"/>
  <c r="U5" i="45"/>
  <c r="W10" i="71"/>
  <c r="W11" i="71"/>
  <c r="W12" i="71"/>
  <c r="U12" i="38"/>
  <c r="W25" i="71"/>
  <c r="W26" i="71"/>
  <c r="W27" i="71"/>
  <c r="U11" i="38"/>
  <c r="V10" i="71"/>
  <c r="V11" i="71"/>
  <c r="V12" i="71"/>
  <c r="T12" i="38"/>
  <c r="U27" i="56"/>
  <c r="U26" i="56"/>
  <c r="U25" i="56"/>
  <c r="T28" i="56"/>
  <c r="T19" i="38"/>
  <c r="V25" i="71"/>
  <c r="V26" i="71"/>
  <c r="V27" i="71"/>
  <c r="T11" i="38"/>
  <c r="S10" i="56"/>
  <c r="T43" i="56"/>
  <c r="T45" i="56"/>
  <c r="T44" i="56"/>
  <c r="X7" i="71"/>
  <c r="X9" i="71"/>
  <c r="X23" i="71"/>
  <c r="X24" i="71"/>
  <c r="X22" i="71"/>
  <c r="X8" i="71"/>
  <c r="T8" i="56"/>
  <c r="T9" i="56"/>
  <c r="T7" i="56"/>
  <c r="S46" i="56"/>
  <c r="U42" i="56"/>
  <c r="T20" i="38"/>
  <c r="U6" i="56"/>
  <c r="V24" i="56"/>
  <c r="S8" i="38"/>
  <c r="S13" i="38"/>
  <c r="S16" i="38"/>
  <c r="U10" i="38"/>
  <c r="Y6" i="71"/>
  <c r="X21" i="71"/>
  <c r="V9" i="38"/>
  <c r="V18" i="80"/>
  <c r="X10" i="71"/>
  <c r="U28" i="56"/>
  <c r="U19" i="38"/>
  <c r="T46" i="56"/>
  <c r="T18" i="38"/>
  <c r="Y7" i="71"/>
  <c r="Y9" i="71"/>
  <c r="Y8" i="71"/>
  <c r="Y23" i="71"/>
  <c r="Y24" i="71"/>
  <c r="Y22" i="71"/>
  <c r="U8" i="56"/>
  <c r="U9" i="56"/>
  <c r="U7" i="56"/>
  <c r="U45" i="56"/>
  <c r="U44" i="56"/>
  <c r="U43" i="56"/>
  <c r="X25" i="71"/>
  <c r="T10" i="56"/>
  <c r="T17" i="38"/>
  <c r="V27" i="56"/>
  <c r="V26" i="56"/>
  <c r="V25" i="56"/>
  <c r="W24" i="56"/>
  <c r="V42" i="56"/>
  <c r="U20" i="38"/>
  <c r="V6" i="56"/>
  <c r="T8" i="38"/>
  <c r="T13" i="38"/>
  <c r="T16" i="38"/>
  <c r="T21" i="38"/>
  <c r="X9" i="38"/>
  <c r="Z6" i="71"/>
  <c r="Y21" i="71"/>
  <c r="W9" i="38"/>
  <c r="W29" i="78"/>
  <c r="E27" i="80"/>
  <c r="G27" i="80"/>
  <c r="I27" i="80"/>
  <c r="K27" i="80"/>
  <c r="M27" i="80"/>
  <c r="O27" i="80"/>
  <c r="Q27" i="80"/>
  <c r="S27" i="80"/>
  <c r="U27" i="80"/>
  <c r="W27" i="80"/>
  <c r="Y27" i="80"/>
  <c r="AA27" i="80"/>
  <c r="D27" i="80"/>
  <c r="F27" i="80"/>
  <c r="H27" i="80"/>
  <c r="J27" i="80"/>
  <c r="L27" i="80"/>
  <c r="N27" i="80"/>
  <c r="P27" i="80"/>
  <c r="R27" i="80"/>
  <c r="T27" i="80"/>
  <c r="V27" i="80"/>
  <c r="X27" i="80"/>
  <c r="Z27" i="80"/>
  <c r="AB27" i="80"/>
  <c r="W18" i="80"/>
  <c r="V5" i="45"/>
  <c r="W5" i="45"/>
  <c r="Y10" i="71"/>
  <c r="Y11" i="71"/>
  <c r="Y12" i="71"/>
  <c r="W12" i="38"/>
  <c r="Z7" i="71"/>
  <c r="Z9" i="71"/>
  <c r="Z8" i="71"/>
  <c r="Z23" i="71"/>
  <c r="Z24" i="71"/>
  <c r="Z22" i="71"/>
  <c r="V44" i="56"/>
  <c r="V45" i="56"/>
  <c r="V43" i="56"/>
  <c r="W27" i="56"/>
  <c r="W25" i="56"/>
  <c r="W26" i="56"/>
  <c r="U46" i="56"/>
  <c r="U18" i="38"/>
  <c r="Y25" i="71"/>
  <c r="V8" i="56"/>
  <c r="V9" i="56"/>
  <c r="V7" i="56"/>
  <c r="V28" i="56"/>
  <c r="V19" i="38"/>
  <c r="U10" i="56"/>
  <c r="U17" i="38"/>
  <c r="W42" i="56"/>
  <c r="W6" i="56"/>
  <c r="X24" i="56"/>
  <c r="T23" i="38"/>
  <c r="U8" i="38"/>
  <c r="U13" i="38"/>
  <c r="U16" i="38"/>
  <c r="U21" i="38"/>
  <c r="X26" i="71"/>
  <c r="X11" i="71"/>
  <c r="Z21" i="71"/>
  <c r="W10" i="38"/>
  <c r="AC27" i="80"/>
  <c r="D28" i="80"/>
  <c r="X18" i="80"/>
  <c r="V10" i="56"/>
  <c r="V17" i="38"/>
  <c r="V46" i="56"/>
  <c r="V18" i="38"/>
  <c r="Z10" i="71"/>
  <c r="Z25" i="71"/>
  <c r="Z26" i="71"/>
  <c r="Z27" i="71"/>
  <c r="X11" i="38"/>
  <c r="W9" i="56"/>
  <c r="W7" i="56"/>
  <c r="W8" i="56"/>
  <c r="W44" i="56"/>
  <c r="W43" i="56"/>
  <c r="W45" i="56"/>
  <c r="AB24" i="71"/>
  <c r="AA24" i="71"/>
  <c r="AA22" i="71"/>
  <c r="W28" i="56"/>
  <c r="W19" i="38"/>
  <c r="AA8" i="71"/>
  <c r="AB8" i="71"/>
  <c r="X26" i="56"/>
  <c r="X25" i="56"/>
  <c r="Y25" i="56"/>
  <c r="X27" i="56"/>
  <c r="AB23" i="71"/>
  <c r="AA23" i="71"/>
  <c r="AB9" i="71"/>
  <c r="AA9" i="71"/>
  <c r="AA7" i="71"/>
  <c r="AB7" i="71"/>
  <c r="X42" i="56"/>
  <c r="W20" i="38"/>
  <c r="X6" i="56"/>
  <c r="V20" i="38"/>
  <c r="U23" i="38"/>
  <c r="V8" i="38"/>
  <c r="V16" i="38"/>
  <c r="V21" i="38"/>
  <c r="V10" i="38"/>
  <c r="X27" i="71"/>
  <c r="V11" i="38"/>
  <c r="Y26" i="71"/>
  <c r="Y27" i="71"/>
  <c r="W11" i="38"/>
  <c r="X12" i="71"/>
  <c r="V12" i="38"/>
  <c r="X10" i="38"/>
  <c r="AB22" i="71"/>
  <c r="W16" i="38"/>
  <c r="W21" i="38"/>
  <c r="E28" i="80"/>
  <c r="D29" i="80"/>
  <c r="Y18" i="80"/>
  <c r="X44" i="56"/>
  <c r="X43" i="56"/>
  <c r="Y43" i="56"/>
  <c r="X45" i="56"/>
  <c r="Z27" i="56"/>
  <c r="Y27" i="56"/>
  <c r="X28" i="56"/>
  <c r="X19" i="38"/>
  <c r="Y26" i="56"/>
  <c r="Z26" i="56"/>
  <c r="W46" i="56"/>
  <c r="W18" i="38"/>
  <c r="W10" i="56"/>
  <c r="W17" i="38"/>
  <c r="X7" i="56"/>
  <c r="X8" i="56"/>
  <c r="X9" i="56"/>
  <c r="Z25" i="56"/>
  <c r="X20" i="38"/>
  <c r="X8" i="38"/>
  <c r="X16" i="38"/>
  <c r="H50" i="104"/>
  <c r="V13" i="38"/>
  <c r="V23" i="38"/>
  <c r="W8" i="38"/>
  <c r="W13" i="38"/>
  <c r="W23" i="38"/>
  <c r="H51" i="104"/>
  <c r="AB25" i="71"/>
  <c r="AA25" i="71"/>
  <c r="AB26" i="71"/>
  <c r="AA26" i="71"/>
  <c r="D29" i="71"/>
  <c r="Z11" i="71"/>
  <c r="AA10" i="71"/>
  <c r="AB10" i="71"/>
  <c r="F28" i="80"/>
  <c r="E29" i="80"/>
  <c r="E30" i="80"/>
  <c r="E31" i="80"/>
  <c r="E32" i="80"/>
  <c r="D30" i="80"/>
  <c r="Z18" i="80"/>
  <c r="Z8" i="56"/>
  <c r="Y8" i="56"/>
  <c r="Z9" i="56"/>
  <c r="Y9" i="56"/>
  <c r="X10" i="56"/>
  <c r="X17" i="38"/>
  <c r="Y45" i="56"/>
  <c r="Z45" i="56"/>
  <c r="Z7" i="56"/>
  <c r="X46" i="56"/>
  <c r="X18" i="38"/>
  <c r="Y44" i="56"/>
  <c r="Z44" i="56"/>
  <c r="Z43" i="56"/>
  <c r="Y7" i="56"/>
  <c r="X21" i="38"/>
  <c r="Z12" i="71"/>
  <c r="X12" i="38"/>
  <c r="X13" i="38"/>
  <c r="AA11" i="71"/>
  <c r="D15" i="71"/>
  <c r="AB11" i="71"/>
  <c r="G28" i="80"/>
  <c r="F29" i="80"/>
  <c r="D31" i="80"/>
  <c r="AB18" i="80"/>
  <c r="AA18" i="80"/>
  <c r="X23" i="38"/>
  <c r="H28" i="80"/>
  <c r="G29" i="80"/>
  <c r="G30" i="80"/>
  <c r="G31" i="80"/>
  <c r="G32" i="80"/>
  <c r="F30" i="80"/>
  <c r="D32" i="80"/>
  <c r="I28" i="80"/>
  <c r="H29" i="80"/>
  <c r="F31" i="80"/>
  <c r="J28" i="80"/>
  <c r="I29" i="80"/>
  <c r="I30" i="80"/>
  <c r="I31" i="80"/>
  <c r="I32" i="80"/>
  <c r="H30" i="80"/>
  <c r="F32" i="80"/>
  <c r="K28" i="80"/>
  <c r="J29" i="80"/>
  <c r="H31" i="80"/>
  <c r="L28" i="80"/>
  <c r="K29" i="80"/>
  <c r="K30" i="80"/>
  <c r="K31" i="80"/>
  <c r="K32" i="80"/>
  <c r="J30" i="80"/>
  <c r="H32" i="80"/>
  <c r="M28" i="80"/>
  <c r="L29" i="80"/>
  <c r="J31" i="80"/>
  <c r="N28" i="80"/>
  <c r="M29" i="80"/>
  <c r="M30" i="80"/>
  <c r="M31" i="80"/>
  <c r="M32" i="80"/>
  <c r="L30" i="80"/>
  <c r="J32" i="80"/>
  <c r="O28" i="80"/>
  <c r="N29" i="80"/>
  <c r="N30" i="80"/>
  <c r="N31" i="80"/>
  <c r="N32" i="80"/>
  <c r="L31" i="80"/>
  <c r="P28" i="80"/>
  <c r="O29" i="80"/>
  <c r="O30" i="80"/>
  <c r="L32" i="80"/>
  <c r="Q28" i="80"/>
  <c r="P29" i="80"/>
  <c r="P30" i="80"/>
  <c r="P31" i="80"/>
  <c r="P32" i="80"/>
  <c r="O31" i="80"/>
  <c r="R28" i="80"/>
  <c r="Q29" i="80"/>
  <c r="Q30" i="80"/>
  <c r="Q31" i="80"/>
  <c r="Q32" i="80"/>
  <c r="O32" i="80"/>
  <c r="S28" i="80"/>
  <c r="R29" i="80"/>
  <c r="R30" i="80"/>
  <c r="R31" i="80"/>
  <c r="R32" i="80"/>
  <c r="T28" i="80"/>
  <c r="S29" i="80"/>
  <c r="S30" i="80"/>
  <c r="S31" i="80"/>
  <c r="S32" i="80"/>
  <c r="U28" i="80"/>
  <c r="T29" i="80"/>
  <c r="T30" i="80"/>
  <c r="T31" i="80"/>
  <c r="T32" i="80"/>
  <c r="V28" i="80"/>
  <c r="U29" i="80"/>
  <c r="U30" i="80"/>
  <c r="U31" i="80"/>
  <c r="U32" i="80"/>
  <c r="W28" i="80"/>
  <c r="V29" i="80"/>
  <c r="V30" i="80"/>
  <c r="V31" i="80"/>
  <c r="V32" i="80"/>
  <c r="W29" i="80"/>
  <c r="W30" i="80"/>
  <c r="W31" i="80"/>
  <c r="W32" i="80"/>
  <c r="X28" i="80"/>
  <c r="Y28" i="80"/>
  <c r="X29" i="80"/>
  <c r="X30" i="80"/>
  <c r="X31" i="80"/>
  <c r="X32" i="80"/>
  <c r="Z28" i="80"/>
  <c r="Y29" i="80"/>
  <c r="Y30" i="80"/>
  <c r="Y31" i="80"/>
  <c r="Y32" i="80"/>
  <c r="Z29" i="80"/>
  <c r="Z30" i="80"/>
  <c r="Z31" i="80"/>
  <c r="Z32" i="80"/>
  <c r="AA28" i="80"/>
  <c r="AA29" i="80"/>
  <c r="AA30" i="80"/>
  <c r="AA31" i="80"/>
  <c r="AA32" i="80"/>
  <c r="AB28" i="80"/>
  <c r="AB29" i="80"/>
  <c r="AB30" i="80"/>
  <c r="AC29" i="80"/>
  <c r="AB31" i="80"/>
  <c r="AC30" i="80"/>
  <c r="AB32" i="80"/>
  <c r="AC32" i="80"/>
  <c r="AC31" i="80"/>
  <c r="C39" i="45"/>
  <c r="F6" i="45"/>
  <c r="J6" i="45"/>
  <c r="N6" i="45"/>
  <c r="R6" i="45"/>
  <c r="G6" i="45"/>
  <c r="K6" i="45"/>
  <c r="O6" i="45"/>
  <c r="S6" i="45"/>
  <c r="H6" i="45"/>
  <c r="L6" i="45"/>
  <c r="P6" i="45"/>
  <c r="T6" i="45"/>
  <c r="I6" i="45"/>
  <c r="M6" i="45"/>
  <c r="Q6" i="45"/>
  <c r="U6" i="45"/>
  <c r="U7" i="45"/>
  <c r="M7" i="45"/>
  <c r="T7" i="45"/>
  <c r="L7" i="45"/>
  <c r="O7" i="45"/>
  <c r="G7" i="45"/>
  <c r="N7" i="45"/>
  <c r="F7" i="45"/>
  <c r="V6" i="45"/>
  <c r="W6" i="45"/>
  <c r="Q7" i="45"/>
  <c r="I7" i="45"/>
  <c r="P7" i="45"/>
  <c r="H7" i="45"/>
  <c r="S7" i="45"/>
  <c r="K7" i="45"/>
  <c r="R7" i="45"/>
  <c r="J7" i="45"/>
  <c r="J8" i="45"/>
  <c r="R8" i="45"/>
  <c r="K8" i="45"/>
  <c r="S8" i="45"/>
  <c r="H8" i="45"/>
  <c r="P8" i="45"/>
  <c r="I8" i="45"/>
  <c r="Q8" i="45"/>
  <c r="V7" i="45"/>
  <c r="F8" i="45"/>
  <c r="G8" i="45"/>
  <c r="O8" i="45"/>
  <c r="L8" i="45"/>
  <c r="T8" i="45"/>
  <c r="M8" i="45"/>
  <c r="U8" i="45"/>
  <c r="W7" i="45"/>
  <c r="N8" i="45"/>
  <c r="W8" i="45"/>
  <c r="V8" i="45"/>
  <c r="D12" i="45"/>
  <c r="E35" i="78"/>
  <c r="D35" i="78"/>
  <c r="D36" i="78"/>
  <c r="D37" i="78"/>
  <c r="F9" i="38"/>
  <c r="E36" i="78"/>
  <c r="E37" i="78"/>
  <c r="G9" i="38"/>
  <c r="E17" i="38"/>
  <c r="E18" i="38"/>
  <c r="E20" i="38"/>
  <c r="H12" i="71"/>
  <c r="F12" i="38"/>
  <c r="D19" i="80"/>
  <c r="D20" i="80"/>
  <c r="D21" i="80"/>
  <c r="D22" i="80"/>
  <c r="D35" i="80"/>
  <c r="D36" i="80"/>
  <c r="C35" i="78"/>
  <c r="E19" i="80"/>
  <c r="E20" i="80"/>
  <c r="E21" i="80"/>
  <c r="E22" i="80"/>
  <c r="G27" i="71"/>
  <c r="E11" i="38"/>
  <c r="G12" i="71"/>
  <c r="E12" i="38"/>
  <c r="C36" i="78"/>
  <c r="C37" i="78"/>
  <c r="E9" i="38"/>
  <c r="F17" i="38"/>
  <c r="F19" i="38"/>
  <c r="F18" i="38"/>
  <c r="F20" i="38"/>
  <c r="H27" i="71"/>
  <c r="F11" i="38"/>
  <c r="D38" i="78"/>
  <c r="D23" i="80"/>
  <c r="G35" i="78"/>
  <c r="C11" i="38"/>
  <c r="C12" i="38"/>
  <c r="E35" i="80"/>
  <c r="E36" i="80"/>
  <c r="E23" i="80"/>
  <c r="C10" i="38"/>
  <c r="E38" i="78"/>
  <c r="C19" i="80"/>
  <c r="I12" i="71"/>
  <c r="G12" i="38"/>
  <c r="G36" i="78"/>
  <c r="G37" i="78"/>
  <c r="I9" i="38"/>
  <c r="C22" i="109"/>
  <c r="H19" i="38"/>
  <c r="H18" i="38"/>
  <c r="H17" i="38"/>
  <c r="H20" i="38"/>
  <c r="D13" i="38"/>
  <c r="H35" i="78"/>
  <c r="C38" i="78"/>
  <c r="C9" i="38"/>
  <c r="J12" i="71"/>
  <c r="H12" i="38"/>
  <c r="F35" i="78"/>
  <c r="C20" i="80"/>
  <c r="G19" i="80"/>
  <c r="G20" i="80"/>
  <c r="G21" i="80"/>
  <c r="G22" i="80"/>
  <c r="J27" i="71"/>
  <c r="H11" i="38"/>
  <c r="I27" i="71"/>
  <c r="G11" i="38"/>
  <c r="F36" i="78"/>
  <c r="F37" i="78"/>
  <c r="H9" i="38"/>
  <c r="H36" i="78"/>
  <c r="H37" i="78"/>
  <c r="J9" i="38"/>
  <c r="G17" i="38"/>
  <c r="I19" i="38"/>
  <c r="I17" i="38"/>
  <c r="I18" i="38"/>
  <c r="I20" i="38"/>
  <c r="G38" i="78"/>
  <c r="I10" i="38"/>
  <c r="H19" i="80"/>
  <c r="H20" i="80"/>
  <c r="H21" i="80"/>
  <c r="H22" i="80"/>
  <c r="F19" i="80"/>
  <c r="G23" i="80"/>
  <c r="G35" i="80"/>
  <c r="G36" i="80"/>
  <c r="K27" i="71"/>
  <c r="I11" i="38"/>
  <c r="C21" i="80"/>
  <c r="K12" i="71"/>
  <c r="I12" i="38"/>
  <c r="G8" i="38"/>
  <c r="G16" i="38"/>
  <c r="E22" i="109"/>
  <c r="G19" i="38"/>
  <c r="G18" i="38"/>
  <c r="G20" i="38"/>
  <c r="J19" i="38"/>
  <c r="J17" i="38"/>
  <c r="J18" i="38"/>
  <c r="J20" i="38"/>
  <c r="J35" i="78"/>
  <c r="C22" i="80"/>
  <c r="L27" i="71"/>
  <c r="J11" i="38"/>
  <c r="H35" i="80"/>
  <c r="H36" i="80"/>
  <c r="H23" i="80"/>
  <c r="J10" i="38"/>
  <c r="F20" i="80"/>
  <c r="F38" i="78"/>
  <c r="L12" i="71"/>
  <c r="J12" i="38"/>
  <c r="H38" i="78"/>
  <c r="J36" i="78"/>
  <c r="J37" i="78"/>
  <c r="L9" i="38"/>
  <c r="H8" i="38"/>
  <c r="H16" i="38"/>
  <c r="F22" i="109"/>
  <c r="K18" i="38"/>
  <c r="K17" i="38"/>
  <c r="F21" i="80"/>
  <c r="J19" i="80"/>
  <c r="J20" i="80"/>
  <c r="J21" i="80"/>
  <c r="J22" i="80"/>
  <c r="K10" i="38"/>
  <c r="M27" i="71"/>
  <c r="K11" i="38"/>
  <c r="M12" i="71"/>
  <c r="K12" i="38"/>
  <c r="I35" i="78"/>
  <c r="C35" i="80"/>
  <c r="C23" i="80"/>
  <c r="I36" i="78"/>
  <c r="I37" i="78"/>
  <c r="K9" i="38"/>
  <c r="I8" i="38"/>
  <c r="I16" i="38"/>
  <c r="F8" i="38"/>
  <c r="F16" i="38"/>
  <c r="G22" i="109"/>
  <c r="D22" i="109"/>
  <c r="K19" i="38"/>
  <c r="L19" i="38"/>
  <c r="L17" i="38"/>
  <c r="L18" i="38"/>
  <c r="K20" i="38"/>
  <c r="L35" i="78"/>
  <c r="J38" i="78"/>
  <c r="F22" i="80"/>
  <c r="N12" i="71"/>
  <c r="L12" i="38"/>
  <c r="I19" i="80"/>
  <c r="C36" i="80"/>
  <c r="N27" i="71"/>
  <c r="L11" i="38"/>
  <c r="J23" i="80"/>
  <c r="J35" i="80"/>
  <c r="J36" i="80"/>
  <c r="L36" i="78"/>
  <c r="L37" i="78"/>
  <c r="N9" i="38"/>
  <c r="J8" i="38"/>
  <c r="J16" i="38"/>
  <c r="H22" i="109"/>
  <c r="M17" i="38"/>
  <c r="L20" i="38"/>
  <c r="M35" i="78"/>
  <c r="O27" i="71"/>
  <c r="M11" i="38"/>
  <c r="I20" i="80"/>
  <c r="O12" i="71"/>
  <c r="M12" i="38"/>
  <c r="K35" i="78"/>
  <c r="I38" i="78"/>
  <c r="L19" i="80"/>
  <c r="L20" i="80"/>
  <c r="L21" i="80"/>
  <c r="L22" i="80"/>
  <c r="M10" i="38"/>
  <c r="L10" i="38"/>
  <c r="F35" i="80"/>
  <c r="F23" i="80"/>
  <c r="K36" i="78"/>
  <c r="K37" i="78"/>
  <c r="M9" i="38"/>
  <c r="M36" i="78"/>
  <c r="M37" i="78"/>
  <c r="O9" i="38"/>
  <c r="M20" i="38"/>
  <c r="N19" i="38"/>
  <c r="N20" i="38"/>
  <c r="M19" i="38"/>
  <c r="M18" i="38"/>
  <c r="N35" i="78"/>
  <c r="P12" i="71"/>
  <c r="N12" i="38"/>
  <c r="K19" i="80"/>
  <c r="I21" i="80"/>
  <c r="L38" i="78"/>
  <c r="M19" i="80"/>
  <c r="M20" i="80"/>
  <c r="M21" i="80"/>
  <c r="M22" i="80"/>
  <c r="F36" i="80"/>
  <c r="L35" i="80"/>
  <c r="L36" i="80"/>
  <c r="L23" i="80"/>
  <c r="N10" i="38"/>
  <c r="P27" i="71"/>
  <c r="N11" i="38"/>
  <c r="N36" i="78"/>
  <c r="N37" i="78"/>
  <c r="P9" i="38"/>
  <c r="L8" i="38"/>
  <c r="L16" i="38"/>
  <c r="K8" i="38"/>
  <c r="K16" i="38"/>
  <c r="I22" i="109"/>
  <c r="J22" i="109"/>
  <c r="N18" i="38"/>
  <c r="O20" i="38"/>
  <c r="O18" i="38"/>
  <c r="O17" i="38"/>
  <c r="N17" i="38"/>
  <c r="O35" i="78"/>
  <c r="Q27" i="71"/>
  <c r="O11" i="38"/>
  <c r="Q12" i="71"/>
  <c r="O12" i="38"/>
  <c r="N19" i="80"/>
  <c r="N20" i="80"/>
  <c r="N21" i="80"/>
  <c r="N22" i="80"/>
  <c r="K38" i="78"/>
  <c r="M38" i="78"/>
  <c r="M35" i="80"/>
  <c r="M36" i="80"/>
  <c r="M23" i="80"/>
  <c r="I22" i="80"/>
  <c r="K20" i="80"/>
  <c r="O10" i="38"/>
  <c r="O36" i="78"/>
  <c r="O37" i="78"/>
  <c r="Q9" i="38"/>
  <c r="P19" i="38"/>
  <c r="P17" i="38"/>
  <c r="P18" i="38"/>
  <c r="P20" i="38"/>
  <c r="O19" i="38"/>
  <c r="R12" i="71"/>
  <c r="P12" i="38"/>
  <c r="R27" i="71"/>
  <c r="P11" i="38"/>
  <c r="N38" i="78"/>
  <c r="K21" i="80"/>
  <c r="O19" i="80"/>
  <c r="I23" i="80"/>
  <c r="I35" i="80"/>
  <c r="N23" i="80"/>
  <c r="N35" i="80"/>
  <c r="N36" i="80"/>
  <c r="P10" i="38"/>
  <c r="X36" i="78"/>
  <c r="X35" i="78"/>
  <c r="M8" i="38"/>
  <c r="M16" i="38"/>
  <c r="K22" i="109"/>
  <c r="Q18" i="38"/>
  <c r="Q20" i="38"/>
  <c r="Q17" i="38"/>
  <c r="Q10" i="38"/>
  <c r="O38" i="78"/>
  <c r="S12" i="71"/>
  <c r="Q12" i="38"/>
  <c r="I36" i="80"/>
  <c r="P19" i="80"/>
  <c r="P20" i="80"/>
  <c r="P21" i="80"/>
  <c r="P22" i="80"/>
  <c r="S27" i="71"/>
  <c r="Q11" i="38"/>
  <c r="O20" i="80"/>
  <c r="K22" i="80"/>
  <c r="O8" i="38"/>
  <c r="O16" i="38"/>
  <c r="N8" i="38"/>
  <c r="N16" i="38"/>
  <c r="X37" i="78"/>
  <c r="R9" i="38"/>
  <c r="L22" i="109"/>
  <c r="M22" i="109"/>
  <c r="R19" i="38"/>
  <c r="R20" i="38"/>
  <c r="R18" i="38"/>
  <c r="R17" i="38"/>
  <c r="Q19" i="38"/>
  <c r="W30" i="78"/>
  <c r="X38" i="78"/>
  <c r="T27" i="71"/>
  <c r="R11" i="38"/>
  <c r="K35" i="80"/>
  <c r="K23" i="80"/>
  <c r="O21" i="80"/>
  <c r="P35" i="80"/>
  <c r="P36" i="80"/>
  <c r="P23" i="80"/>
  <c r="T12" i="71"/>
  <c r="R12" i="38"/>
  <c r="R10" i="38"/>
  <c r="P8" i="38"/>
  <c r="P16" i="38"/>
  <c r="N22" i="109"/>
  <c r="Q19" i="80"/>
  <c r="Q20" i="80"/>
  <c r="Q21" i="80"/>
  <c r="Q22" i="80"/>
  <c r="Q35" i="80"/>
  <c r="Q36" i="80"/>
  <c r="S19" i="38"/>
  <c r="S20" i="38"/>
  <c r="S18" i="38"/>
  <c r="S17" i="38"/>
  <c r="W36" i="78"/>
  <c r="W35" i="78"/>
  <c r="W37" i="78"/>
  <c r="R19" i="80"/>
  <c r="R20" i="80"/>
  <c r="R21" i="80"/>
  <c r="R22" i="80"/>
  <c r="O22" i="80"/>
  <c r="K36" i="80"/>
  <c r="Q8" i="38"/>
  <c r="Q16" i="38"/>
  <c r="S21" i="38"/>
  <c r="S23" i="38"/>
  <c r="O22" i="109"/>
  <c r="Q23" i="80"/>
  <c r="AA12" i="71"/>
  <c r="AB12" i="71"/>
  <c r="AB27" i="71"/>
  <c r="AA27" i="71"/>
  <c r="W38" i="78"/>
  <c r="O23" i="80"/>
  <c r="O35" i="80"/>
  <c r="S19" i="80"/>
  <c r="S20" i="80"/>
  <c r="S21" i="80"/>
  <c r="S22" i="80"/>
  <c r="R23" i="80"/>
  <c r="R35" i="80"/>
  <c r="R36" i="80"/>
  <c r="S23" i="80"/>
  <c r="S35" i="80"/>
  <c r="S36" i="80"/>
  <c r="T19" i="80"/>
  <c r="T20" i="80"/>
  <c r="T21" i="80"/>
  <c r="T22" i="80"/>
  <c r="O36" i="80"/>
  <c r="R8" i="38"/>
  <c r="R16" i="38"/>
  <c r="T23" i="80"/>
  <c r="T35" i="80"/>
  <c r="T36" i="80"/>
  <c r="U19" i="80"/>
  <c r="U20" i="80"/>
  <c r="U21" i="80"/>
  <c r="U22" i="80"/>
  <c r="Z20" i="38"/>
  <c r="Z17" i="38"/>
  <c r="Z18" i="38"/>
  <c r="Z28" i="56"/>
  <c r="U35" i="80"/>
  <c r="U36" i="80"/>
  <c r="U23" i="80"/>
  <c r="Y9" i="38"/>
  <c r="V19" i="80"/>
  <c r="V20" i="80"/>
  <c r="V21" i="80"/>
  <c r="V22" i="80"/>
  <c r="X29" i="104"/>
  <c r="X40" i="104"/>
  <c r="Y29" i="104"/>
  <c r="Y40" i="104"/>
  <c r="X30" i="104"/>
  <c r="X41" i="104"/>
  <c r="Y30" i="104"/>
  <c r="Y41" i="104"/>
  <c r="Z46" i="56"/>
  <c r="Y46" i="56"/>
  <c r="D49" i="56"/>
  <c r="Z10" i="56"/>
  <c r="Z9" i="38"/>
  <c r="W19" i="80"/>
  <c r="W20" i="80"/>
  <c r="W21" i="80"/>
  <c r="W22" i="80"/>
  <c r="V23" i="80"/>
  <c r="V35" i="80"/>
  <c r="V36" i="80"/>
  <c r="W18" i="109"/>
  <c r="W17" i="109"/>
  <c r="W20" i="109"/>
  <c r="X19" i="109"/>
  <c r="X21" i="109"/>
  <c r="Y10" i="56"/>
  <c r="D13" i="56"/>
  <c r="Y11" i="38"/>
  <c r="X19" i="80"/>
  <c r="X20" i="80"/>
  <c r="X21" i="80"/>
  <c r="X22" i="80"/>
  <c r="W23" i="80"/>
  <c r="W35" i="80"/>
  <c r="W36" i="80"/>
  <c r="W23" i="109"/>
  <c r="W21" i="109"/>
  <c r="X20" i="109"/>
  <c r="X18" i="109"/>
  <c r="X17" i="109"/>
  <c r="W22" i="109"/>
  <c r="D25" i="109"/>
  <c r="W19" i="109"/>
  <c r="W16" i="109"/>
  <c r="X16" i="109"/>
  <c r="Z11" i="38"/>
  <c r="Y12" i="38"/>
  <c r="Z12" i="38"/>
  <c r="X23" i="80"/>
  <c r="X35" i="80"/>
  <c r="X36" i="80"/>
  <c r="Y19" i="80"/>
  <c r="Y20" i="80"/>
  <c r="Y21" i="80"/>
  <c r="Y22" i="80"/>
  <c r="W24" i="109"/>
  <c r="X22" i="109"/>
  <c r="Y10" i="38"/>
  <c r="Z10" i="38"/>
  <c r="Y23" i="80"/>
  <c r="Y35" i="80"/>
  <c r="Y36" i="80"/>
  <c r="Z19" i="80"/>
  <c r="Z20" i="80"/>
  <c r="Z21" i="80"/>
  <c r="Z22" i="80"/>
  <c r="AA19" i="80"/>
  <c r="AA20" i="80"/>
  <c r="AA21" i="80"/>
  <c r="AA22" i="80"/>
  <c r="Z35" i="80"/>
  <c r="Z36" i="80"/>
  <c r="Z23" i="80"/>
  <c r="AA35" i="80"/>
  <c r="AA36" i="80"/>
  <c r="AA23" i="80"/>
  <c r="AB19" i="80"/>
  <c r="AB20" i="80"/>
  <c r="AC19" i="80"/>
  <c r="AB21" i="80"/>
  <c r="AC20" i="80"/>
  <c r="AB22" i="80"/>
  <c r="AC21" i="80"/>
  <c r="AB23" i="80"/>
  <c r="AC23" i="80"/>
  <c r="AB35" i="80"/>
  <c r="AC22" i="80"/>
  <c r="AB36" i="80"/>
  <c r="AC36" i="80"/>
  <c r="AC35" i="80"/>
  <c r="C20" i="38"/>
  <c r="E19" i="38"/>
  <c r="Z19" i="38"/>
  <c r="E16" i="38"/>
  <c r="E8" i="38"/>
  <c r="D21" i="38"/>
  <c r="Y28" i="56"/>
  <c r="D31" i="56"/>
  <c r="C18" i="38"/>
  <c r="C17" i="38"/>
  <c r="C19" i="38"/>
  <c r="D23" i="38"/>
  <c r="D45" i="104"/>
  <c r="D34" i="104"/>
  <c r="E34" i="104"/>
  <c r="E45" i="104"/>
  <c r="G21" i="38"/>
  <c r="G13" i="38"/>
  <c r="F21" i="38"/>
  <c r="F13" i="38"/>
  <c r="F45" i="104"/>
  <c r="F34" i="104"/>
  <c r="G23" i="38"/>
  <c r="F23" i="38"/>
  <c r="G45" i="104"/>
  <c r="G34" i="104"/>
  <c r="I13" i="38"/>
  <c r="H13" i="38"/>
  <c r="H21" i="38"/>
  <c r="I21" i="38"/>
  <c r="H45" i="104"/>
  <c r="H34" i="104"/>
  <c r="J21" i="38"/>
  <c r="I23" i="38"/>
  <c r="H23" i="38"/>
  <c r="I45" i="104"/>
  <c r="I34" i="104"/>
  <c r="K13" i="38"/>
  <c r="J13" i="38"/>
  <c r="J45" i="104"/>
  <c r="J34" i="104"/>
  <c r="K21" i="38"/>
  <c r="K23" i="38"/>
  <c r="L21" i="38"/>
  <c r="J23" i="38"/>
  <c r="K45" i="104"/>
  <c r="K34" i="104"/>
  <c r="M13" i="38"/>
  <c r="L13" i="38"/>
  <c r="M21" i="38"/>
  <c r="L45" i="104"/>
  <c r="L34" i="104"/>
  <c r="N21" i="38"/>
  <c r="M23" i="38"/>
  <c r="L23" i="38"/>
  <c r="M45" i="104"/>
  <c r="M34" i="104"/>
  <c r="O13" i="38"/>
  <c r="O21" i="38"/>
  <c r="N13" i="38"/>
  <c r="N45" i="104"/>
  <c r="N34" i="104"/>
  <c r="P21" i="38"/>
  <c r="P13" i="38"/>
  <c r="O23" i="38"/>
  <c r="N23" i="38"/>
  <c r="O34" i="104"/>
  <c r="O45" i="104"/>
  <c r="P23" i="38"/>
  <c r="Q13" i="38"/>
  <c r="Q21" i="38"/>
  <c r="P45" i="104"/>
  <c r="G55" i="104"/>
  <c r="P34" i="104"/>
  <c r="R13" i="38"/>
  <c r="Q23" i="38"/>
  <c r="R21" i="38"/>
  <c r="X34" i="104"/>
  <c r="X45" i="104"/>
  <c r="Y31" i="104"/>
  <c r="X31" i="104"/>
  <c r="X28" i="104"/>
  <c r="Y28" i="104"/>
  <c r="Y27" i="104"/>
  <c r="X27" i="104"/>
  <c r="Y26" i="104"/>
  <c r="X26" i="104"/>
  <c r="X33" i="104"/>
  <c r="Y33" i="104"/>
  <c r="Y44" i="104"/>
  <c r="R23" i="38"/>
  <c r="H48" i="104"/>
  <c r="H54" i="104"/>
  <c r="H49" i="104"/>
  <c r="H52" i="104"/>
  <c r="G15" i="33"/>
  <c r="Y34" i="104"/>
  <c r="Y45" i="104"/>
  <c r="Y42" i="104"/>
  <c r="X42" i="104"/>
  <c r="H47" i="104"/>
  <c r="G43" i="33"/>
  <c r="F43" i="33"/>
  <c r="H55" i="104"/>
  <c r="I55" i="104"/>
  <c r="Y38" i="104"/>
  <c r="X38" i="104"/>
  <c r="X39" i="104"/>
  <c r="Y39" i="104"/>
  <c r="X44" i="104"/>
  <c r="Y37" i="104"/>
  <c r="X37" i="104"/>
  <c r="F32" i="33"/>
  <c r="I38" i="33"/>
  <c r="I37" i="33"/>
  <c r="F15" i="33"/>
  <c r="I39" i="33"/>
  <c r="I40" i="33"/>
  <c r="I15" i="33"/>
  <c r="I35" i="33"/>
  <c r="G32" i="33"/>
  <c r="F45" i="33"/>
  <c r="Y18" i="38"/>
  <c r="I43" i="33"/>
  <c r="I32" i="33"/>
  <c r="G45" i="33"/>
  <c r="Y20" i="38"/>
  <c r="Y19" i="38"/>
  <c r="Y17" i="38"/>
  <c r="E31" i="56"/>
  <c r="E21" i="38"/>
  <c r="Y21" i="38"/>
  <c r="Y8" i="38"/>
  <c r="E13" i="38"/>
  <c r="Y16" i="38"/>
  <c r="Z8" i="38"/>
  <c r="Z13" i="38"/>
  <c r="Z16" i="38"/>
  <c r="Z21" i="38"/>
  <c r="F21" i="33"/>
  <c r="G21" i="33"/>
  <c r="E23" i="38"/>
  <c r="Y13" i="38"/>
  <c r="Y23" i="38"/>
  <c r="Z23" i="38"/>
  <c r="I21" i="33"/>
  <c r="P7" i="106"/>
  <c r="P8" i="106"/>
  <c r="P9" i="106"/>
  <c r="P10" i="106"/>
  <c r="P11" i="106"/>
  <c r="P12" i="106"/>
  <c r="P13" i="106"/>
  <c r="P14" i="106"/>
  <c r="P15" i="106"/>
  <c r="P16" i="106"/>
  <c r="P196" i="106"/>
  <c r="P197" i="106"/>
  <c r="P198" i="106"/>
  <c r="P199" i="106"/>
  <c r="P200" i="106"/>
  <c r="P201" i="106"/>
  <c r="P17" i="106"/>
  <c r="P18" i="106"/>
  <c r="P19" i="106"/>
  <c r="P20" i="106"/>
  <c r="P21" i="106"/>
  <c r="P202" i="106"/>
  <c r="P203" i="106"/>
  <c r="P204" i="106"/>
  <c r="P205" i="106"/>
  <c r="P206" i="106"/>
  <c r="P207" i="106"/>
  <c r="P208" i="106"/>
  <c r="P22" i="106"/>
  <c r="P23" i="106"/>
  <c r="P24" i="106"/>
  <c r="P25" i="106"/>
  <c r="P26" i="106"/>
  <c r="P27" i="106"/>
  <c r="P28" i="106"/>
  <c r="P29" i="106"/>
  <c r="P30" i="106"/>
  <c r="P211" i="106"/>
  <c r="P212" i="106"/>
  <c r="P213" i="106"/>
  <c r="P214" i="106"/>
  <c r="P215" i="106"/>
  <c r="P216" i="106"/>
  <c r="P217" i="106"/>
  <c r="P209" i="106"/>
  <c r="P210" i="106"/>
  <c r="P31" i="106"/>
  <c r="P32" i="106"/>
  <c r="P33" i="106"/>
  <c r="P34" i="106"/>
  <c r="P35" i="106"/>
  <c r="P36" i="106"/>
  <c r="P37" i="106"/>
  <c r="P38" i="106"/>
  <c r="P39" i="106"/>
  <c r="P40" i="106"/>
  <c r="P41" i="106"/>
  <c r="P42" i="106"/>
  <c r="P43" i="106"/>
  <c r="P44" i="106"/>
  <c r="P45" i="106"/>
  <c r="P220" i="106"/>
  <c r="P221" i="106"/>
  <c r="P222" i="106"/>
  <c r="P223" i="106"/>
  <c r="P224" i="106"/>
  <c r="P225" i="106"/>
  <c r="P226" i="106"/>
  <c r="P227" i="106"/>
  <c r="P228" i="106"/>
  <c r="P229" i="106"/>
  <c r="P230" i="106"/>
  <c r="P231" i="106"/>
  <c r="P232" i="106"/>
  <c r="P233" i="106"/>
  <c r="P234" i="106"/>
  <c r="P235" i="106"/>
  <c r="P236" i="106"/>
  <c r="P237" i="106"/>
  <c r="P238" i="106"/>
  <c r="P239" i="106"/>
  <c r="P240" i="106"/>
  <c r="P241" i="106"/>
  <c r="P242" i="106"/>
  <c r="P243" i="106"/>
  <c r="P248" i="106"/>
  <c r="P218" i="106"/>
  <c r="P219" i="106"/>
  <c r="P46" i="106"/>
  <c r="P47" i="106"/>
  <c r="P48" i="106"/>
  <c r="P49" i="106"/>
  <c r="P50" i="106"/>
  <c r="P51" i="106"/>
  <c r="P52" i="106"/>
  <c r="P53" i="106"/>
  <c r="P54" i="106"/>
  <c r="P55" i="106"/>
  <c r="P56" i="106"/>
  <c r="P57" i="106"/>
  <c r="P58" i="106"/>
  <c r="P59" i="106"/>
  <c r="P60" i="106"/>
  <c r="P61" i="106"/>
  <c r="P62" i="106"/>
  <c r="P63" i="106"/>
  <c r="P64" i="106"/>
  <c r="P65" i="106"/>
  <c r="P66" i="106"/>
  <c r="P67" i="106"/>
  <c r="P68" i="106"/>
  <c r="P69" i="106"/>
  <c r="P70" i="106"/>
  <c r="P71" i="106"/>
  <c r="P72" i="106"/>
  <c r="P73" i="106"/>
  <c r="P74" i="106"/>
  <c r="P75" i="106"/>
  <c r="P76" i="106"/>
  <c r="P77" i="106"/>
  <c r="P78" i="106"/>
  <c r="P79" i="106"/>
  <c r="P80" i="106"/>
  <c r="P81" i="106"/>
  <c r="P82" i="106"/>
  <c r="P83" i="106"/>
  <c r="P84" i="106"/>
  <c r="P85" i="106"/>
  <c r="P86" i="106"/>
  <c r="P87" i="106"/>
  <c r="P88" i="106"/>
  <c r="P89" i="106"/>
  <c r="P90" i="106"/>
  <c r="P91" i="106"/>
  <c r="P92" i="106"/>
  <c r="P93" i="106"/>
  <c r="P94" i="106"/>
  <c r="P95" i="106"/>
  <c r="P96" i="106"/>
  <c r="P97" i="106"/>
  <c r="P98" i="106"/>
  <c r="P99" i="106"/>
  <c r="P100" i="106"/>
  <c r="P101" i="106"/>
  <c r="P102" i="106"/>
  <c r="P103" i="106"/>
  <c r="P104" i="106"/>
  <c r="P105" i="106"/>
  <c r="P106" i="106"/>
  <c r="P107" i="106"/>
  <c r="P108" i="106"/>
  <c r="P109" i="106"/>
  <c r="P110" i="106"/>
  <c r="P111" i="106"/>
  <c r="P112" i="106"/>
  <c r="P113" i="106"/>
  <c r="P114" i="106"/>
  <c r="P115" i="106"/>
  <c r="P116" i="106"/>
  <c r="P117" i="106"/>
  <c r="P118" i="106"/>
  <c r="P119" i="106"/>
  <c r="P120" i="106"/>
  <c r="P121" i="106"/>
  <c r="P122" i="106"/>
  <c r="P123" i="106"/>
  <c r="P124" i="106"/>
  <c r="P125" i="106"/>
  <c r="P126" i="106"/>
  <c r="P127" i="106"/>
  <c r="P128" i="106"/>
  <c r="P129" i="106"/>
  <c r="P130" i="106"/>
  <c r="P131" i="106"/>
  <c r="P132" i="106"/>
  <c r="P133" i="106"/>
  <c r="P134" i="106"/>
  <c r="P135" i="106"/>
  <c r="P136" i="106"/>
  <c r="P137" i="106"/>
  <c r="P138" i="106"/>
  <c r="P139" i="106"/>
  <c r="P140" i="106"/>
  <c r="P141" i="106"/>
  <c r="P142" i="106"/>
  <c r="P143" i="106"/>
  <c r="P144" i="106"/>
  <c r="P145" i="106"/>
  <c r="P146" i="106"/>
  <c r="P147" i="106"/>
  <c r="P148" i="106"/>
  <c r="P149" i="106"/>
  <c r="P150" i="106"/>
  <c r="P151" i="106"/>
  <c r="P152" i="106"/>
  <c r="P153" i="106"/>
  <c r="P154" i="106"/>
  <c r="P155" i="106"/>
  <c r="P156" i="106"/>
  <c r="P157" i="106"/>
  <c r="P158" i="106"/>
  <c r="P159" i="106"/>
  <c r="P160" i="106"/>
  <c r="P161" i="106"/>
  <c r="P162" i="106"/>
  <c r="P163" i="106"/>
  <c r="P164" i="106"/>
  <c r="P165" i="106"/>
  <c r="P166" i="106"/>
  <c r="P167" i="106"/>
  <c r="P168" i="106"/>
  <c r="P169" i="106"/>
  <c r="P170" i="106"/>
  <c r="P171" i="106"/>
  <c r="P172" i="106"/>
  <c r="P173" i="106"/>
  <c r="P174" i="106"/>
  <c r="P175" i="106"/>
  <c r="P176" i="106"/>
  <c r="P177" i="106"/>
  <c r="P178" i="106"/>
  <c r="P179" i="106"/>
  <c r="P181" i="106"/>
  <c r="P183" i="106"/>
  <c r="P184" i="106"/>
  <c r="P185" i="106"/>
  <c r="P186" i="106"/>
  <c r="P187" i="106"/>
  <c r="P188" i="106"/>
  <c r="P189" i="106"/>
  <c r="P190" i="106"/>
</calcChain>
</file>

<file path=xl/comments1.xml><?xml version="1.0" encoding="utf-8"?>
<comments xmlns="http://schemas.openxmlformats.org/spreadsheetml/2006/main">
  <authors>
    <author>Cami Slade</author>
  </authors>
  <commentList>
    <comment ref="C48" authorId="0">
      <text>
        <r>
          <rPr>
            <b/>
            <sz val="9"/>
            <color indexed="81"/>
            <rFont val="Tahoma"/>
            <family val="2"/>
          </rPr>
          <t>Cami Slade:</t>
        </r>
        <r>
          <rPr>
            <sz val="9"/>
            <color indexed="81"/>
            <rFont val="Tahoma"/>
            <family val="2"/>
          </rPr>
          <t xml:space="preserve">
See Parcel Analysis Combined spreadsheet, tab "2012 Parcels (LYRB)"</t>
        </r>
      </text>
    </comment>
  </commentList>
</comments>
</file>

<file path=xl/comments2.xml><?xml version="1.0" encoding="utf-8"?>
<comments xmlns="http://schemas.openxmlformats.org/spreadsheetml/2006/main">
  <authors>
    <author>Cami Slade</author>
  </authors>
  <commentList>
    <comment ref="L15" authorId="0">
      <text>
        <r>
          <rPr>
            <b/>
            <sz val="9"/>
            <color indexed="81"/>
            <rFont val="Tahoma"/>
            <family val="2"/>
          </rPr>
          <t>Cami Slade:</t>
        </r>
        <r>
          <rPr>
            <sz val="9"/>
            <color indexed="81"/>
            <rFont val="Tahoma"/>
            <family val="2"/>
          </rPr>
          <t xml:space="preserve">
Rocky Mountain Power (average Utah: http://www.rockymountainpower.net/about/rar/cpc.html)</t>
        </r>
      </text>
    </comment>
    <comment ref="L30" authorId="0">
      <text>
        <r>
          <rPr>
            <b/>
            <sz val="9"/>
            <color indexed="81"/>
            <rFont val="Tahoma"/>
            <family val="2"/>
          </rPr>
          <t>Cami Slade:</t>
        </r>
        <r>
          <rPr>
            <sz val="9"/>
            <color indexed="81"/>
            <rFont val="Tahoma"/>
            <family val="2"/>
          </rPr>
          <t xml:space="preserve">
Questar Tariff: average of summer and winter rates (GS - for residential and most commercial) (FS - is for large industrial uses)</t>
        </r>
      </text>
    </comment>
    <comment ref="L31" authorId="0">
      <text>
        <r>
          <rPr>
            <b/>
            <sz val="9"/>
            <color indexed="81"/>
            <rFont val="Tahoma"/>
            <family val="2"/>
          </rPr>
          <t>Cami Slade:</t>
        </r>
        <r>
          <rPr>
            <sz val="9"/>
            <color indexed="81"/>
            <rFont val="Tahoma"/>
            <family val="2"/>
          </rPr>
          <t xml:space="preserve">
Questar Tariff: average of summer and winter rates (GS - for residential and most commercial) (FS - is for large industrial uses)</t>
        </r>
      </text>
    </comment>
  </commentList>
</comments>
</file>

<file path=xl/comments3.xml><?xml version="1.0" encoding="utf-8"?>
<comments xmlns="http://schemas.openxmlformats.org/spreadsheetml/2006/main">
  <authors>
    <author>Cami Slade</author>
  </authors>
  <commentList>
    <comment ref="G15" authorId="0">
      <text>
        <r>
          <rPr>
            <b/>
            <sz val="9"/>
            <color indexed="81"/>
            <rFont val="Tahoma"/>
            <family val="2"/>
          </rPr>
          <t>Cami Slade:</t>
        </r>
        <r>
          <rPr>
            <sz val="9"/>
            <color indexed="81"/>
            <rFont val="Tahoma"/>
            <family val="2"/>
          </rPr>
          <t xml:space="preserve">
Tax Commission Website (under property tax) http://propertytax.utah.gov/library/pdf/statistics/2011yevaluebyentity.pdf
</t>
        </r>
      </text>
    </comment>
  </commentList>
</comments>
</file>

<file path=xl/comments4.xml><?xml version="1.0" encoding="utf-8"?>
<comments xmlns="http://schemas.openxmlformats.org/spreadsheetml/2006/main">
  <authors>
    <author>Cami Slade</author>
  </authors>
  <commentList>
    <comment ref="C14" authorId="0">
      <text>
        <r>
          <rPr>
            <b/>
            <sz val="9"/>
            <color indexed="81"/>
            <rFont val="Tahoma"/>
            <family val="2"/>
          </rPr>
          <t>Cami Slade:</t>
        </r>
        <r>
          <rPr>
            <sz val="9"/>
            <color indexed="81"/>
            <rFont val="Tahoma"/>
            <family val="2"/>
          </rPr>
          <t xml:space="preserve">
Research on Division of Workforce Service (type of jobs, office, retail, etc.) - $43,404 is average wage for 2010 Salt Lake County (DWFS)</t>
        </r>
      </text>
    </comment>
  </commentList>
</comments>
</file>

<file path=xl/sharedStrings.xml><?xml version="1.0" encoding="utf-8"?>
<sst xmlns="http://schemas.openxmlformats.org/spreadsheetml/2006/main" count="4175" uniqueCount="2130">
  <si>
    <t>Totals:</t>
  </si>
  <si>
    <t>TOTAL INCREMENTAL VALUE:</t>
  </si>
  <si>
    <t>TAX RATE &amp; INCREMENT ANALYSIS:</t>
  </si>
  <si>
    <t>Annual</t>
  </si>
  <si>
    <t>Gross Sales</t>
  </si>
  <si>
    <t>TOTALS</t>
  </si>
  <si>
    <t>Uses of Tax Increment Funds:</t>
  </si>
  <si>
    <t>Property Tax Increment for Budget</t>
  </si>
  <si>
    <t>Total Property Tax Increment for Budget:</t>
  </si>
  <si>
    <t>Sources of Funds:</t>
  </si>
  <si>
    <t>Total Sources of Funds:</t>
  </si>
  <si>
    <t>Total Amounts</t>
  </si>
  <si>
    <t>Total Uses of Funds:</t>
  </si>
  <si>
    <t>Total</t>
  </si>
  <si>
    <t>Discount Rate</t>
  </si>
  <si>
    <t>NPV</t>
  </si>
  <si>
    <t>CPI - All Products - US City Average - Chained</t>
  </si>
  <si>
    <t>Year</t>
  </si>
  <si>
    <t>Index</t>
  </si>
  <si>
    <t>% Change</t>
  </si>
  <si>
    <t>Moving 5yr</t>
  </si>
  <si>
    <t>*Use for Sales Tax revenue</t>
  </si>
  <si>
    <t>CPI - Educ. &amp; Comm. - US City Average - Chained</t>
  </si>
  <si>
    <t>*Use for Telecommunication Franchise Tax</t>
  </si>
  <si>
    <t>CPI - Energy - US City Average - Chained</t>
  </si>
  <si>
    <t>Total Uses</t>
  </si>
  <si>
    <t>Residential</t>
  </si>
  <si>
    <t>Base Year</t>
  </si>
  <si>
    <t>Assumptions</t>
  </si>
  <si>
    <t>Personal Property Rate</t>
  </si>
  <si>
    <t>Inflation Rate</t>
  </si>
  <si>
    <t>Property Tax Participation Rate for Budget</t>
  </si>
  <si>
    <t>Remaining for Taxing Entities:</t>
  </si>
  <si>
    <t>Acres</t>
  </si>
  <si>
    <t>Retail</t>
  </si>
  <si>
    <t>Woods Cross</t>
  </si>
  <si>
    <t>Davis County</t>
  </si>
  <si>
    <t>Other</t>
  </si>
  <si>
    <t>Site</t>
  </si>
  <si>
    <t>Community Development Area ("CDA") 2009</t>
  </si>
  <si>
    <t>Annual Inflation</t>
  </si>
  <si>
    <t>Commercial</t>
  </si>
  <si>
    <t>Salt Lake County</t>
  </si>
  <si>
    <t>JAN</t>
  </si>
  <si>
    <t>FEB</t>
  </si>
  <si>
    <t>MAR</t>
  </si>
  <si>
    <t>APR</t>
  </si>
  <si>
    <t>MAY</t>
  </si>
  <si>
    <t>JUN</t>
  </si>
  <si>
    <t>JUL</t>
  </si>
  <si>
    <t>AUG</t>
  </si>
  <si>
    <t>SEP</t>
  </si>
  <si>
    <t>OCT</t>
  </si>
  <si>
    <t>NOV</t>
  </si>
  <si>
    <t>DEC</t>
  </si>
  <si>
    <t>ANNUAL AVERAGE</t>
  </si>
  <si>
    <t>7540r</t>
  </si>
  <si>
    <t>Construction Cost Index (ENR)</t>
  </si>
  <si>
    <t>Increase</t>
  </si>
  <si>
    <t>General Government</t>
  </si>
  <si>
    <t>Sq. Footage</t>
  </si>
  <si>
    <t>Total Assessed Value</t>
  </si>
  <si>
    <t>NPV @ 5%</t>
  </si>
  <si>
    <t>ASSUMPTIONS:</t>
  </si>
  <si>
    <t>Commercial Development</t>
  </si>
  <si>
    <t>Residential Development</t>
  </si>
  <si>
    <t>TOTAL EXPENDITURES</t>
  </si>
  <si>
    <t>Public Safety Services</t>
  </si>
  <si>
    <t>Public Works Servics</t>
  </si>
  <si>
    <t>General Government Services</t>
  </si>
  <si>
    <t>EXPENDITURES</t>
  </si>
  <si>
    <t>TOTAL REVENUES</t>
  </si>
  <si>
    <t>Woods Cross CDA</t>
  </si>
  <si>
    <t>Cummulative Development (Includes all development YTD)</t>
  </si>
  <si>
    <t>Inflation (CCI)</t>
  </si>
  <si>
    <t>Franchise Tax Rate</t>
  </si>
  <si>
    <t>NPV of Electric Tax Revenue</t>
  </si>
  <si>
    <t>Released:  Dec 2006</t>
  </si>
  <si>
    <t>Next CBECS will be conducted in 2007</t>
  </si>
  <si>
    <t>Table C13. Total Electricity Consumption and Expenditures, 2003</t>
  </si>
  <si>
    <t>All Buildings* 
Using Electricity</t>
  </si>
  <si>
    <t>Electricity
Consumption</t>
  </si>
  <si>
    <t>Electricity Expenditures</t>
  </si>
  <si>
    <t>Number of Buildings (thousand)</t>
  </si>
  <si>
    <t>Floorspace (million
square feet)</t>
  </si>
  <si>
    <t>Floorspace
per Building (thousand square feet)</t>
  </si>
  <si>
    <t>Primary</t>
  </si>
  <si>
    <t>Total 
(million 
dollars)</t>
  </si>
  <si>
    <t>Total
(trillion
Btu)</t>
  </si>
  <si>
    <t>Total
(billion
kWh)</t>
  </si>
  <si>
    <t>All Buildings* ................</t>
  </si>
  <si>
    <t>Building Floorspace</t>
  </si>
  <si>
    <t>(Square Feet)</t>
  </si>
  <si>
    <t>1,001 to 5,000 ...............</t>
  </si>
  <si>
    <t>5,001 to 10,000 ..............</t>
  </si>
  <si>
    <t>10,001 to 25,000 .............</t>
  </si>
  <si>
    <t>25,001 to 50,000 .............</t>
  </si>
  <si>
    <t>50,001 to 100,000 ............</t>
  </si>
  <si>
    <t>100,001 to 200,000 ...........</t>
  </si>
  <si>
    <t>200,001 to 500,000 ...........</t>
  </si>
  <si>
    <t>Over 500,000 .................</t>
  </si>
  <si>
    <t>Principal Building Activity</t>
  </si>
  <si>
    <t>Education ....................</t>
  </si>
  <si>
    <t>Food Sales ...................</t>
  </si>
  <si>
    <t>Food Service .................</t>
  </si>
  <si>
    <t>Health Care ..................</t>
  </si>
  <si>
    <t xml:space="preserve">  Inpatient ..................</t>
  </si>
  <si>
    <t xml:space="preserve">  Outpatient .................</t>
  </si>
  <si>
    <t>Lodging ......................</t>
  </si>
  <si>
    <t>Retail (Other Than Mall)......</t>
  </si>
  <si>
    <t>Office .......................</t>
  </si>
  <si>
    <t>Public Assembly ..............</t>
  </si>
  <si>
    <t>Public Order and Safety ......</t>
  </si>
  <si>
    <t>Religious Worship ............</t>
  </si>
  <si>
    <t>Service ......................</t>
  </si>
  <si>
    <t>Warehouse and Storage ........</t>
  </si>
  <si>
    <t>Other ........................</t>
  </si>
  <si>
    <t>Vacant .......................</t>
  </si>
  <si>
    <t>Year Constructed</t>
  </si>
  <si>
    <t>Before 1920 ..................</t>
  </si>
  <si>
    <t>1920 to 1945 .................</t>
  </si>
  <si>
    <t>1946 to 1959 .................</t>
  </si>
  <si>
    <t>1960 to 1969 .................</t>
  </si>
  <si>
    <t>1970 to 1979 .................</t>
  </si>
  <si>
    <t>1980 to 1989 .................</t>
  </si>
  <si>
    <t>1990 to 1999 .................</t>
  </si>
  <si>
    <t>2000 to 2003 .................</t>
  </si>
  <si>
    <t>Census Region and Division</t>
  </si>
  <si>
    <t>Northeast ....................</t>
  </si>
  <si>
    <t xml:space="preserve">  New England ................</t>
  </si>
  <si>
    <t xml:space="preserve">  Middle Atlantic ............</t>
  </si>
  <si>
    <t>Midwest ......................</t>
  </si>
  <si>
    <t xml:space="preserve">  East North Central .........</t>
  </si>
  <si>
    <t xml:space="preserve">  West North Central .........</t>
  </si>
  <si>
    <t>South ........................</t>
  </si>
  <si>
    <t xml:space="preserve">  South Atlantic .............</t>
  </si>
  <si>
    <t xml:space="preserve">  East South Central .........</t>
  </si>
  <si>
    <t xml:space="preserve">  West South Central .........</t>
  </si>
  <si>
    <t>West .........................</t>
  </si>
  <si>
    <t xml:space="preserve">  Mountain ...................</t>
  </si>
  <si>
    <t xml:space="preserve">  Pacific ....................</t>
  </si>
  <si>
    <t>Climate Zone: 30-Year Average</t>
  </si>
  <si>
    <t>Under 2,000 CDD and --</t>
  </si>
  <si>
    <t xml:space="preserve">  More than 7,000 HDD ........</t>
  </si>
  <si>
    <t xml:space="preserve">  5,500-7,000 HDD ............</t>
  </si>
  <si>
    <t xml:space="preserve">  4,000-5,499 HDD ............</t>
  </si>
  <si>
    <t xml:space="preserve">  Fewer than 4,000 HDD .......</t>
  </si>
  <si>
    <t>2,000 CDD or More and --</t>
  </si>
  <si>
    <t>Number of Floors</t>
  </si>
  <si>
    <t>One ..........................</t>
  </si>
  <si>
    <t>Two ..........................</t>
  </si>
  <si>
    <t>Three ........................</t>
  </si>
  <si>
    <t>Four to Nine .................</t>
  </si>
  <si>
    <t>Ten or More ..................</t>
  </si>
  <si>
    <t>Elevators and Escalators</t>
  </si>
  <si>
    <t>(more than one may apply)</t>
  </si>
  <si>
    <t>Any Elevators ................</t>
  </si>
  <si>
    <t>Number of Elevators</t>
  </si>
  <si>
    <t xml:space="preserve">  One ........................</t>
  </si>
  <si>
    <t xml:space="preserve">  Two to Five ................</t>
  </si>
  <si>
    <t xml:space="preserve">  Six or More ................</t>
  </si>
  <si>
    <t>Any Escalators ...............</t>
  </si>
  <si>
    <t>Number of Workers (main shift)</t>
  </si>
  <si>
    <t>Fewer than 5 .................</t>
  </si>
  <si>
    <t>5 to 9 .......................</t>
  </si>
  <si>
    <t>10 to 19 .....................</t>
  </si>
  <si>
    <t>20 to 49 .....................</t>
  </si>
  <si>
    <t>50 to 99 .....................</t>
  </si>
  <si>
    <t>100 to 249 ...................</t>
  </si>
  <si>
    <t>250 or More ..................</t>
  </si>
  <si>
    <t>Weekly Operating Hours</t>
  </si>
  <si>
    <t>Fewer than 40 ................</t>
  </si>
  <si>
    <t>40 to 48 .....................</t>
  </si>
  <si>
    <t>49 to 60 .....................</t>
  </si>
  <si>
    <t>61 to 84 .....................</t>
  </si>
  <si>
    <t>85 to 167 ....................</t>
  </si>
  <si>
    <t>Open Continuously ............</t>
  </si>
  <si>
    <t>Ownership and Occupancy</t>
  </si>
  <si>
    <t>Nongovernment Owned ..........</t>
  </si>
  <si>
    <t xml:space="preserve">  Owner Occupied .............</t>
  </si>
  <si>
    <t xml:space="preserve">  Nonowner Occupied ..........</t>
  </si>
  <si>
    <t xml:space="preserve">  Unoccupied .................</t>
  </si>
  <si>
    <t>Q</t>
  </si>
  <si>
    <t>Government Owned .............</t>
  </si>
  <si>
    <t xml:space="preserve">  Federal ....................</t>
  </si>
  <si>
    <t xml:space="preserve">  State ......................</t>
  </si>
  <si>
    <t xml:space="preserve">  Local ......................</t>
  </si>
  <si>
    <t>Vacancy Status</t>
  </si>
  <si>
    <t>Completely Vacant ............</t>
  </si>
  <si>
    <t>Mostly Vacant ................</t>
  </si>
  <si>
    <t>Partially Vacant .............</t>
  </si>
  <si>
    <t>Not At All Vacant ............</t>
  </si>
  <si>
    <t>Number of Establishments</t>
  </si>
  <si>
    <t>2 to 5 .......................</t>
  </si>
  <si>
    <t>6 to 10 ......................</t>
  </si>
  <si>
    <t>11 to 20 .....................</t>
  </si>
  <si>
    <t>More than 20 .................</t>
  </si>
  <si>
    <t>Currently Unoccupied .........</t>
  </si>
  <si>
    <t>Predominant Exterior</t>
  </si>
  <si>
    <t>Wall Material</t>
  </si>
  <si>
    <t>Brick, Stone or Stucco .......</t>
  </si>
  <si>
    <t>Concrete (Block or Poured) ...</t>
  </si>
  <si>
    <t>Concrete Panels ..............</t>
  </si>
  <si>
    <t>Siding or Shingles ...........</t>
  </si>
  <si>
    <t>Metal Panels .................</t>
  </si>
  <si>
    <t>Window Glass .................</t>
  </si>
  <si>
    <t>No One Major Type ............</t>
  </si>
  <si>
    <t>Predominant Roof Material</t>
  </si>
  <si>
    <t>Built-Up .....................</t>
  </si>
  <si>
    <t>Shingles (Not Wood) ..........</t>
  </si>
  <si>
    <t>Metal Surfacing ..............</t>
  </si>
  <si>
    <t>Synthetic or Rubber ..........</t>
  </si>
  <si>
    <t>Slate or Tile ................</t>
  </si>
  <si>
    <t>Wooden Materials .............</t>
  </si>
  <si>
    <t>Concrete .....................</t>
  </si>
  <si>
    <t>Renovations in Buildings</t>
  </si>
  <si>
    <t>Constructed Before 1980</t>
  </si>
  <si>
    <t>Any Type of Renovation</t>
  </si>
  <si>
    <t xml:space="preserve"> Since 1980 ..................</t>
  </si>
  <si>
    <t xml:space="preserve">   Addition or Annex .........</t>
  </si>
  <si>
    <t xml:space="preserve">   Reduction In Floorspace ...</t>
  </si>
  <si>
    <t xml:space="preserve">   Cosmetic Improvements .....</t>
  </si>
  <si>
    <t xml:space="preserve">   Wall or Roof Replacement ..</t>
  </si>
  <si>
    <t xml:space="preserve">   Interior Wall</t>
  </si>
  <si>
    <t xml:space="preserve">    Re-Configuration .........</t>
  </si>
  <si>
    <t xml:space="preserve">   HVAC Equipment Upgrade ....</t>
  </si>
  <si>
    <t xml:space="preserve">   Lighting Upgrade ..........</t>
  </si>
  <si>
    <t xml:space="preserve">   Window Replacement ........</t>
  </si>
  <si>
    <t xml:space="preserve">   Plumbing System Upgrade ...</t>
  </si>
  <si>
    <t xml:space="preserve">   Insulation Upgrade ........</t>
  </si>
  <si>
    <t xml:space="preserve">   Other Renovation ..........</t>
  </si>
  <si>
    <t>No Renovations Since 1980 ....</t>
  </si>
  <si>
    <t>Building Newer than 1980 .....</t>
  </si>
  <si>
    <t>Energy Sources (more than</t>
  </si>
  <si>
    <t>one may apply)</t>
  </si>
  <si>
    <t>Electricity ..................</t>
  </si>
  <si>
    <t>Natural Gas ..................</t>
  </si>
  <si>
    <t>Fuel Oil .....................</t>
  </si>
  <si>
    <t>District Heat ................</t>
  </si>
  <si>
    <t>District Chilled Water .......</t>
  </si>
  <si>
    <t>Propane ......................</t>
  </si>
  <si>
    <t>Space-Heating Energy Sources</t>
  </si>
  <si>
    <t xml:space="preserve">  Electricity Main ...........</t>
  </si>
  <si>
    <t xml:space="preserve">  Electricity Secondary ......</t>
  </si>
  <si>
    <t>Other Excluding Electricity ..</t>
  </si>
  <si>
    <t>Buildings without Heating ....</t>
  </si>
  <si>
    <t>Primary Space-Heating</t>
  </si>
  <si>
    <t>Energy Source</t>
  </si>
  <si>
    <t>Cooling Energy Sources</t>
  </si>
  <si>
    <t>Buildings without Cooling ....</t>
  </si>
  <si>
    <t>Water-Heating Energy Sources</t>
  </si>
  <si>
    <t>Bldgs without Water Heating ..</t>
  </si>
  <si>
    <t>Cooking Energy Sources</t>
  </si>
  <si>
    <t>Buildings without Cooking ....</t>
  </si>
  <si>
    <t>Energy End Uses (more than</t>
  </si>
  <si>
    <t>Buildings with Space Heating .</t>
  </si>
  <si>
    <t>Buildings with Cooling .......</t>
  </si>
  <si>
    <t>Buildings with Water Heating .</t>
  </si>
  <si>
    <t>Buildings with Cooking .......</t>
  </si>
  <si>
    <t>Buildings with Manufacturing .</t>
  </si>
  <si>
    <t>Buildings with Electricity</t>
  </si>
  <si>
    <t xml:space="preserve"> Generation ..................</t>
  </si>
  <si>
    <t>Percent of Floorspace Heated</t>
  </si>
  <si>
    <t>Not Heated ...................</t>
  </si>
  <si>
    <t>1 to 50 ......................</t>
  </si>
  <si>
    <t>51 to 99 .....................</t>
  </si>
  <si>
    <t>100 ..........................</t>
  </si>
  <si>
    <t>Percent of Floorspace Cooled</t>
  </si>
  <si>
    <t>Not Cooled ...................</t>
  </si>
  <si>
    <t>Percent Lit When Open</t>
  </si>
  <si>
    <t>Zero .........................</t>
  </si>
  <si>
    <t>Building Never Open/</t>
  </si>
  <si>
    <t xml:space="preserve"> Electricity Not Used ........</t>
  </si>
  <si>
    <t>Percent Lit When Closed</t>
  </si>
  <si>
    <t>51 to 100 ....................</t>
  </si>
  <si>
    <t>Building Never Closed/</t>
  </si>
  <si>
    <t>Heating Equipment (more</t>
  </si>
  <si>
    <t>than one may apply)</t>
  </si>
  <si>
    <t>Heat Pumps ...................</t>
  </si>
  <si>
    <t xml:space="preserve">  Packaged Heat Pumps ........</t>
  </si>
  <si>
    <t xml:space="preserve">  Split-System Heat Pumps ....</t>
  </si>
  <si>
    <t xml:space="preserve">  Individual Room Heat Pumps .</t>
  </si>
  <si>
    <t>Furnaces .....................</t>
  </si>
  <si>
    <t>Individual Space Heaters .....</t>
  </si>
  <si>
    <t>Boilers ......................</t>
  </si>
  <si>
    <t>Packaged Heating Units .......</t>
  </si>
  <si>
    <t>Cooling Equipment (more</t>
  </si>
  <si>
    <t>Residential-Type Central</t>
  </si>
  <si>
    <t xml:space="preserve"> Air Conditioners ............</t>
  </si>
  <si>
    <t>Individual Air Conditioners ..</t>
  </si>
  <si>
    <t>Central Chillers .............</t>
  </si>
  <si>
    <t>Packaged Air Conditioning</t>
  </si>
  <si>
    <t xml:space="preserve"> Units .......................</t>
  </si>
  <si>
    <t>Swamp Coolers ................</t>
  </si>
  <si>
    <t>Main Equipment Replaced Since</t>
  </si>
  <si>
    <t>1990 (more than one may apply)</t>
  </si>
  <si>
    <t>Heating ......................</t>
  </si>
  <si>
    <t>Cooling ......................</t>
  </si>
  <si>
    <t>Water Heating Equipment</t>
  </si>
  <si>
    <t>Centralized System ...........</t>
  </si>
  <si>
    <t>Distributed System ...........</t>
  </si>
  <si>
    <t>Combination of Centralized</t>
  </si>
  <si>
    <t xml:space="preserve"> and Distributed System ......</t>
  </si>
  <si>
    <t>Lighting Equipment Types</t>
  </si>
  <si>
    <t>Incandescent .................</t>
  </si>
  <si>
    <t>Standard Fluorescent .........</t>
  </si>
  <si>
    <t>Compact Fluorescent ..........</t>
  </si>
  <si>
    <t>High Intensity Discharge .....</t>
  </si>
  <si>
    <t>Halogen ......................</t>
  </si>
  <si>
    <t>Refrigeration Equipment</t>
  </si>
  <si>
    <r>
      <t>(more than one may apply)</t>
    </r>
    <r>
      <rPr>
        <b/>
        <vertAlign val="superscript"/>
        <sz val="8"/>
        <rFont val="Arial"/>
        <family val="2"/>
      </rPr>
      <t>a</t>
    </r>
  </si>
  <si>
    <t>Any Refrigeration.............</t>
  </si>
  <si>
    <t xml:space="preserve">  Commercial Refrigeration ...</t>
  </si>
  <si>
    <t xml:space="preserve">    Walk-In Units ............</t>
  </si>
  <si>
    <t xml:space="preserve">    Cases or Cabinets ........</t>
  </si>
  <si>
    <t xml:space="preserve">  Residential-Type Units .....</t>
  </si>
  <si>
    <t xml:space="preserve">  Vending Machines ...........</t>
  </si>
  <si>
    <t>No Refrigeration .............</t>
  </si>
  <si>
    <t>Office Equipment (more</t>
  </si>
  <si>
    <t>Computers ....................</t>
  </si>
  <si>
    <t xml:space="preserve">  With Flat Screen Monitors ..</t>
  </si>
  <si>
    <t>Dedicated Servers ............</t>
  </si>
  <si>
    <t>Laser Printers ...............</t>
  </si>
  <si>
    <t>Inkjet Printers ..............</t>
  </si>
  <si>
    <t>FAX Machines .................</t>
  </si>
  <si>
    <t>Photocopiers .................</t>
  </si>
  <si>
    <t>Number of Computers</t>
  </si>
  <si>
    <t>None .........................</t>
  </si>
  <si>
    <t>1 to 4 .......................</t>
  </si>
  <si>
    <t>Number of Dedicated Servers</t>
  </si>
  <si>
    <t>50 or More ...................</t>
  </si>
  <si>
    <t>Number of Photocopiers</t>
  </si>
  <si>
    <t>2 to 4 .......................</t>
  </si>
  <si>
    <t>10 or More ...................</t>
  </si>
  <si>
    <t>Energy-Related Space Functions</t>
  </si>
  <si>
    <t>Commercial Food Preparation ..</t>
  </si>
  <si>
    <t>Activities with Large</t>
  </si>
  <si>
    <t xml:space="preserve"> Amounts of Hot Water ........</t>
  </si>
  <si>
    <t>Separate Computer Area .......</t>
  </si>
  <si>
    <t>HVAC Conservation Features</t>
  </si>
  <si>
    <t>Variable Air-Volume System ...</t>
  </si>
  <si>
    <t>Economizer Cycle .............</t>
  </si>
  <si>
    <t>HVAC Maintenance .............</t>
  </si>
  <si>
    <t>Energy Management and</t>
  </si>
  <si>
    <t xml:space="preserve"> Control System (EMCS) .......</t>
  </si>
  <si>
    <t>Window and Interior Lighting</t>
  </si>
  <si>
    <t>Features (more than one</t>
  </si>
  <si>
    <t>may apply)</t>
  </si>
  <si>
    <t>Multipaned Windows ...........</t>
  </si>
  <si>
    <t>Tinted Window Glass ..........</t>
  </si>
  <si>
    <t>Reflective Window Glass ......</t>
  </si>
  <si>
    <t>External Overhangs</t>
  </si>
  <si>
    <t xml:space="preserve"> or Awnings ..................</t>
  </si>
  <si>
    <t>Skylights or Atriums .........</t>
  </si>
  <si>
    <t>Daylighting Sensors ..........</t>
  </si>
  <si>
    <t>Specular Reflectors ..........</t>
  </si>
  <si>
    <t>Electronic Ballasts ..........</t>
  </si>
  <si>
    <t xml:space="preserve"> Control System (EMCS)</t>
  </si>
  <si>
    <t xml:space="preserve"> For Lighting ................</t>
  </si>
  <si>
    <t>Equipment Usage Reduced</t>
  </si>
  <si>
    <t>When Building Not In Full Use</t>
  </si>
  <si>
    <t>Lighting .....................</t>
  </si>
  <si>
    <t>Office Equipment .............</t>
  </si>
  <si>
    <t>Annual Consumption</t>
  </si>
  <si>
    <t>(kilowatthours)</t>
  </si>
  <si>
    <t>10,000 or Less ...............</t>
  </si>
  <si>
    <t>10,001 to 50,000 .............</t>
  </si>
  <si>
    <t>100,001 to 500,000 ...........</t>
  </si>
  <si>
    <t>500,001 to 1,000,000 .........</t>
  </si>
  <si>
    <t>1,000,001 to 5,000,000 .......</t>
  </si>
  <si>
    <t>Over 5,000,000 ...............</t>
  </si>
  <si>
    <t>Provider of Purchased</t>
  </si>
  <si>
    <t>Electricity (more than</t>
  </si>
  <si>
    <t>Local Utility ................</t>
  </si>
  <si>
    <t>Some Other Provider ..........</t>
  </si>
  <si>
    <r>
      <t xml:space="preserve">See "Guide to the Tables" or "Glossary" for further explanations of the terms used in this table. Both can be accessed from the CBECS web site - http://www.eia.doe.gov/emeu/cbecs.
 * Figures in this table do not include enclosed malls and strip malls. Mall buildings add an estimated 213 thousand buildings comprising 6.9 billion square feet. In the 1999 CBECS, malls represented 9.7 percent of total electricity consumption.
</t>
    </r>
    <r>
      <rPr>
        <vertAlign val="superscript"/>
        <sz val="8"/>
        <rFont val="Arial"/>
        <family val="2"/>
      </rPr>
      <t>a</t>
    </r>
    <r>
      <rPr>
        <sz val="8"/>
        <rFont val="Arial"/>
        <family val="2"/>
      </rPr>
      <t xml:space="preserve"> The definition for one or more of these row items has changed and may not be directly comparable with past CBECS estimates. See "Guide to the Tables" for discussion of the differences.
Q=Data withheld because the Relative Standard Error (RSE) was greater than 50 percent, or fewer than 20 buildings were sampled.
N=No responding cases in sample that use electricity.</t>
    </r>
  </si>
  <si>
    <t xml:space="preserve">Notes: ● Site electricity is the amount of electricity delivered to commercial buildings. Primary electricity, which is not included in the "Total of Major Fuels" category, is site electricity plus the conversion losses in the generation, transmission, and distribution processes. ● Statistics for the "Energy End Uses" category represent total consumption in buildings that have the end use, not consumption specifically for that particular end use. ● HVAC = Heating, Ventilation, and Air Conditioning. ● Due to rounding, data may not sum to totals.
Source: Energy Information Administration, Office of Energy Markets and End Use, Forms EIA-871A, C, and E of the 2003 Commercial Buildings Energy Consumption Survey. </t>
  </si>
  <si>
    <r>
      <t>Usage (per Year)</t>
    </r>
    <r>
      <rPr>
        <b/>
        <vertAlign val="superscript"/>
        <sz val="10"/>
        <color indexed="9"/>
        <rFont val="Arial"/>
        <family val="2"/>
      </rPr>
      <t>2</t>
    </r>
  </si>
  <si>
    <t>Table C23.  Total Natural Gas Consumption and Expenditures in Non-Mall Buildings, 2003</t>
  </si>
  <si>
    <t>All Buildings* 
Using Natural Gas</t>
  </si>
  <si>
    <t>Natural Gas
Consumption</t>
  </si>
  <si>
    <t>Natural Gas Expenditures</t>
  </si>
  <si>
    <t>Floorspace 
per Building
(thousand
square feet)</t>
  </si>
  <si>
    <t>Total
(billion
cubic feet)</t>
  </si>
  <si>
    <t>Total
(million
dollars)</t>
  </si>
  <si>
    <t xml:space="preserve">  Natural Gas Main ...........</t>
  </si>
  <si>
    <t xml:space="preserve">  Natural Gas Secondary ......</t>
  </si>
  <si>
    <t>Other Excluding Natural Gas ..</t>
  </si>
  <si>
    <t>(hundred cubic feet)</t>
  </si>
  <si>
    <t>1,000 or Less ................</t>
  </si>
  <si>
    <t>Over 100,000 .................</t>
  </si>
  <si>
    <t>Provider of Natural Gas</t>
  </si>
  <si>
    <r>
      <t xml:space="preserve">See "Guide to the Tables" or "Glossary" for further explanations of the terms used in this table. Both can be accessed from the CBECS web site - http://www.eia.doe.gov/emeu/cbecs.
 * Figures in this table do not include enclosed malls and strip malls. Mall buildings add an estimated 213 thousand buildings comprising 6.9 billion square feet. In the 1999 CBECS, malls represented 3.8 percent of total natural gas consumption.
</t>
    </r>
    <r>
      <rPr>
        <vertAlign val="superscript"/>
        <sz val="8"/>
        <rFont val="Arial"/>
        <family val="2"/>
      </rPr>
      <t>a</t>
    </r>
    <r>
      <rPr>
        <sz val="8"/>
        <rFont val="Arial"/>
        <family val="2"/>
      </rPr>
      <t xml:space="preserve"> The definition for one or more of these row items has changed and may not be directly comparable with past CBECS estimates. See "Guide to the Tables" for discussion of the differences.
Q=Data withheld because the Relative Standard Error (RSE) was greater than 50 percent, or fewer than 20 buildings were sampled.
N=No responding cases in sample that use natural gas.</t>
    </r>
  </si>
  <si>
    <t xml:space="preserve">Notes: ● Statistics for the "Energy End Uses" category represent total consumption in buildings that have the end use, not consumption specifically for that particular end use. ● HVAC = Heating, Ventilation, and Air Conditioning. ● Due to rounding, data may not sum to totals.
Source: Energy Information Administration, Office of Energy Markets and End Use, Forms EIA-871A, C, and E of the 2003 Commercial Buildings Energy Consumption Survey. </t>
  </si>
  <si>
    <t>This assumes all household use natural gas (rather than an alternative like electic,wood or korosen as an energy source). The mountain states show a total of approx. 72 percent of the homes use natural gas. This includes all housing units.</t>
  </si>
  <si>
    <t>Dth = decatherm = 10 therms = 1,000,000 Btu</t>
  </si>
  <si>
    <t>BTUs per Sq Ft</t>
  </si>
  <si>
    <t>Dth Conversion</t>
  </si>
  <si>
    <r>
      <t>A quad is a unit of energy equal to 10</t>
    </r>
    <r>
      <rPr>
        <vertAlign val="superscript"/>
        <sz val="10"/>
        <rFont val="Arial"/>
        <family val="2"/>
      </rPr>
      <t xml:space="preserve">15 </t>
    </r>
    <r>
      <rPr>
        <sz val="10"/>
        <rFont val="Arial"/>
      </rPr>
      <t>(a short-scale quadrillion) BTU</t>
    </r>
  </si>
  <si>
    <t>Table US4.   Total Consumption by Fuels Used, 2005
                    Quadrillion British Thermal Units (Btu)</t>
  </si>
  <si>
    <r>
      <t xml:space="preserve"> Fuels Used </t>
    </r>
    <r>
      <rPr>
        <sz val="8"/>
        <rFont val="Arial"/>
        <family val="2"/>
      </rPr>
      <t>(quadrillion Btu)</t>
    </r>
  </si>
  <si>
    <r>
      <t xml:space="preserve">U.S.
Households
</t>
    </r>
    <r>
      <rPr>
        <sz val="8"/>
        <rFont val="Arial"/>
        <family val="2"/>
      </rPr>
      <t>(millions)</t>
    </r>
  </si>
  <si>
    <t>Electricity</t>
  </si>
  <si>
    <t>Natural Gas</t>
  </si>
  <si>
    <t>Fuel Oil</t>
  </si>
  <si>
    <r>
      <t>Kerosene</t>
    </r>
    <r>
      <rPr>
        <b/>
        <vertAlign val="superscript"/>
        <sz val="10"/>
        <rFont val="Arial"/>
        <family val="2"/>
      </rPr>
      <t>5</t>
    </r>
  </si>
  <si>
    <t>LPG</t>
  </si>
  <si>
    <t>Wood</t>
  </si>
  <si>
    <t>Northeast</t>
  </si>
  <si>
    <t>(*)</t>
  </si>
  <si>
    <t>New England</t>
  </si>
  <si>
    <t>Middle Atlantic</t>
  </si>
  <si>
    <t>Midwest</t>
  </si>
  <si>
    <t>East North Central</t>
  </si>
  <si>
    <t>West North Central</t>
  </si>
  <si>
    <t>South</t>
  </si>
  <si>
    <t>South Atlantic</t>
  </si>
  <si>
    <t>East South Central</t>
  </si>
  <si>
    <t>West South Central</t>
  </si>
  <si>
    <t>N</t>
  </si>
  <si>
    <t>West</t>
  </si>
  <si>
    <t>Mountain</t>
  </si>
  <si>
    <t>Pacific</t>
  </si>
  <si>
    <t>Four Most Populated States</t>
  </si>
  <si>
    <t>New York</t>
  </si>
  <si>
    <t>Florida</t>
  </si>
  <si>
    <t>Texas</t>
  </si>
  <si>
    <t>California</t>
  </si>
  <si>
    <t>All Other States</t>
  </si>
  <si>
    <r>
      <t xml:space="preserve">Urban/Rural Location </t>
    </r>
    <r>
      <rPr>
        <sz val="8"/>
        <rFont val="Arial"/>
        <family val="2"/>
      </rPr>
      <t>(as Self-Reported)</t>
    </r>
  </si>
  <si>
    <t>City</t>
  </si>
  <si>
    <t>Town</t>
  </si>
  <si>
    <t>Suburbs</t>
  </si>
  <si>
    <t>Rural</t>
  </si>
  <si>
    <r>
      <t>Climate Zone</t>
    </r>
    <r>
      <rPr>
        <b/>
        <vertAlign val="superscript"/>
        <sz val="10"/>
        <rFont val="Arial"/>
        <family val="2"/>
      </rPr>
      <t>1</t>
    </r>
  </si>
  <si>
    <t>Less than 2,000 CDD and--</t>
  </si>
  <si>
    <t>Greater than 7,000 HDD</t>
  </si>
  <si>
    <t>5,500 to 7,000 HDD</t>
  </si>
  <si>
    <t>4,000 to 5,499 HDD</t>
  </si>
  <si>
    <t>Fewer than 4,000 HDD</t>
  </si>
  <si>
    <t>2000 CDD or More and--</t>
  </si>
  <si>
    <t>Less than 4,000 HDD</t>
  </si>
  <si>
    <t>Type of Housing Unit</t>
  </si>
  <si>
    <t>Single-Family Detached</t>
  </si>
  <si>
    <t>Single-Family Attached</t>
  </si>
  <si>
    <t>Apartments in 2-4 Unit Buildings</t>
  </si>
  <si>
    <t>Apartments in 5 or More Unit Buildings</t>
  </si>
  <si>
    <t>Mobile Homes</t>
  </si>
  <si>
    <t>Ownership of Housing Unit</t>
  </si>
  <si>
    <t>Owned</t>
  </si>
  <si>
    <t>Rented</t>
  </si>
  <si>
    <t>Year of Construction</t>
  </si>
  <si>
    <t>Before 1940</t>
  </si>
  <si>
    <t>1940 to 1949</t>
  </si>
  <si>
    <t>1950 to 1959</t>
  </si>
  <si>
    <t>1960 to 1969</t>
  </si>
  <si>
    <t>1970 to 1979</t>
  </si>
  <si>
    <t>1980 to 1989</t>
  </si>
  <si>
    <t>1990 to 1999</t>
  </si>
  <si>
    <t>2000 to 2005</t>
  </si>
  <si>
    <r>
      <t xml:space="preserve">Total Floorspace </t>
    </r>
    <r>
      <rPr>
        <sz val="8"/>
        <rFont val="Arial"/>
        <family val="2"/>
      </rPr>
      <t>(Square Feet)</t>
    </r>
  </si>
  <si>
    <t>Fewer than 500</t>
  </si>
  <si>
    <t>500 to 999</t>
  </si>
  <si>
    <t>1,000 to 1,499</t>
  </si>
  <si>
    <t>1,500 to 1,999</t>
  </si>
  <si>
    <t>2,000 to 2,499</t>
  </si>
  <si>
    <t>2,500 to 2,999</t>
  </si>
  <si>
    <t>3,000 to 3,499</t>
  </si>
  <si>
    <t>3,500 to 3,999</t>
  </si>
  <si>
    <t>4,000 or More</t>
  </si>
  <si>
    <t>Household Size</t>
  </si>
  <si>
    <t>1 Person</t>
  </si>
  <si>
    <t>2 Persons</t>
  </si>
  <si>
    <t>3 Persons</t>
  </si>
  <si>
    <t>4 Persons</t>
  </si>
  <si>
    <t>5 Persons</t>
  </si>
  <si>
    <t>6 or More Persons</t>
  </si>
  <si>
    <t>2005 Household Income Category</t>
  </si>
  <si>
    <t>Less than $10,000</t>
  </si>
  <si>
    <t>$10,000 to $14,999</t>
  </si>
  <si>
    <t>$15,000 to $19,999</t>
  </si>
  <si>
    <t>$20,000 to $29,999</t>
  </si>
  <si>
    <t>$30,000 to $39,999</t>
  </si>
  <si>
    <t>$40,000 to $49,999</t>
  </si>
  <si>
    <t>$50,000 to $74,999</t>
  </si>
  <si>
    <t>$75,000 to $99,999</t>
  </si>
  <si>
    <t>$100,000 or More</t>
  </si>
  <si>
    <t>Income Relative to Poverty Line</t>
  </si>
  <si>
    <t>Below 100 Percent</t>
  </si>
  <si>
    <t>100 to 150 Percent</t>
  </si>
  <si>
    <t>Above 150 Percent</t>
  </si>
  <si>
    <r>
      <t>Eligible for Federal Assistance</t>
    </r>
    <r>
      <rPr>
        <b/>
        <vertAlign val="superscript"/>
        <sz val="10"/>
        <rFont val="Arial"/>
        <family val="2"/>
      </rPr>
      <t>2</t>
    </r>
  </si>
  <si>
    <t>Yes</t>
  </si>
  <si>
    <t>No</t>
  </si>
  <si>
    <t>Payment Method for Utilities</t>
  </si>
  <si>
    <t>All Paid by Household</t>
  </si>
  <si>
    <t>Some Paid, Some in Rent</t>
  </si>
  <si>
    <t>All Included in Rent</t>
  </si>
  <si>
    <t>Other Method</t>
  </si>
  <si>
    <t>Ethnic Origin of Householder</t>
  </si>
  <si>
    <t>Hispanic Descent</t>
  </si>
  <si>
    <t>Non-Hispanic Descent</t>
  </si>
  <si>
    <r>
      <t>Race of Householder</t>
    </r>
    <r>
      <rPr>
        <b/>
        <vertAlign val="superscript"/>
        <sz val="10"/>
        <rFont val="Arial"/>
        <family val="2"/>
      </rPr>
      <t>3</t>
    </r>
  </si>
  <si>
    <t>White</t>
  </si>
  <si>
    <t>Hispanic</t>
  </si>
  <si>
    <t>Non-Hispanic</t>
  </si>
  <si>
    <t>Black</t>
  </si>
  <si>
    <t>Asian</t>
  </si>
  <si>
    <t>Multi-Racial</t>
  </si>
  <si>
    <t>Undetermined (Race Reported as Hispanic)</t>
  </si>
  <si>
    <t xml:space="preserve">      
   1  One of five climatically distinct areas, determined according to the 30-year average (1971-2000) of the annual heating and cooling degree-days.    A household is assigned to a climate zone according to the 30-year average annual degree-days for an appropriate nearby weather station.
   2  Below 150 percent of poverty line or 60 percent of median state income.
   3  Respondents were permitted to select more than one racial category to describe themselves.  The "Other" category includes Native Americans, Native Alaskans, and Pacific Islanders.  
   4  Total excludes primary electricity and wood.
   5  Kerosene consumption and expenditure estimates could only be calculated for space heating since too few cases in the sample had viable data for water heating and appliances.  Therefore, total estimates for kerosene equal space heating estimates for kerosene.  
   Q = Data withheld either because the Relative Standard Error (RSE) was greater than 50 percent or fewer than 10 households were sampled.
   N = No cases in the reporting sample.
   (*) Number less than 0.5, 0.05, or 0.005 depending on the number of significant digits in the column, rounded to zero.
   Notes:  ● Because of rounding, data may not sum to totals.  ● See "Glossary" for definition of terms used in this report.
   Source:  Energy Information Administration, Office of Energy Markets and End Use, Forms EIA-457 A-G of the 2005 Residential Energy Consumption Survey.
</t>
  </si>
  <si>
    <t>Table US2.   Total Households by Fuels Used, 2005
                     Million U.S. Households</t>
  </si>
  <si>
    <r>
      <t xml:space="preserve">Fuels Used </t>
    </r>
    <r>
      <rPr>
        <sz val="8"/>
        <rFont val="Arial"/>
        <family val="2"/>
      </rPr>
      <t>(million U.S. households)</t>
    </r>
  </si>
  <si>
    <r>
      <t>Electricity</t>
    </r>
    <r>
      <rPr>
        <b/>
        <vertAlign val="superscript"/>
        <sz val="10"/>
        <rFont val="Arial"/>
        <family val="2"/>
      </rPr>
      <t>4</t>
    </r>
  </si>
  <si>
    <r>
      <t xml:space="preserve">   
</t>
    </r>
    <r>
      <rPr>
        <sz val="8"/>
        <rFont val="Arial"/>
        <family val="2"/>
      </rPr>
      <t xml:space="preserve">   1  One of five climatically distinct areas, determined according to the 30-year average (1971-2000) of the annual heating and cooling degree-days.    A household is assigned to a climate zone according to the 30-year average annual degree-days for an appropriate nearby weather station.
   2  Below 150 percent of poverty line or 60 percent of median state income.
   3  Respondents were permitted to select more than one racial category to describe themselves.  The "Other" category includes Native Americans, Native Alaskans, and Pacific Islanders.  
   4 The RECS cannot be used to accurately estimate the number of households that do not use electricity.
   5 Kerosene consumption and expenditure estimates could only be calculated for space heating since too few cases in the sample had viable data for water heating and appliances.  Therefore, total estimates for kerosene equal space heating estimates for kerosene.                                                                                                                                                                                                                       
   Notes:  ● See "Glossary" for definition of terms used in this report.
   Source:  Energy Information Administration, Office of Energy Markets and End Use, Forms EIA-457 A-G of the 2005 Residential Energy Consumption Survey.</t>
    </r>
    <r>
      <rPr>
        <sz val="8"/>
        <rFont val="Arial"/>
        <family val="2"/>
      </rPr>
      <t xml:space="preserve">
</t>
    </r>
  </si>
  <si>
    <t>Fuels Used (million U.S. households)</t>
  </si>
  <si>
    <r>
      <t>Total</t>
    </r>
    <r>
      <rPr>
        <b/>
        <vertAlign val="superscript"/>
        <sz val="8"/>
        <rFont val="Arial"/>
        <family val="2"/>
      </rPr>
      <t>4</t>
    </r>
  </si>
  <si>
    <r>
      <t>Kerosene</t>
    </r>
    <r>
      <rPr>
        <b/>
        <vertAlign val="superscript"/>
        <sz val="8"/>
        <rFont val="Arial"/>
        <family val="2"/>
      </rPr>
      <t>5</t>
    </r>
  </si>
  <si>
    <r>
      <t>Climate Zone</t>
    </r>
    <r>
      <rPr>
        <b/>
        <vertAlign val="superscript"/>
        <sz val="8"/>
        <rFont val="Arial"/>
        <family val="2"/>
      </rPr>
      <t>1</t>
    </r>
  </si>
  <si>
    <r>
      <t>Eligible for Federal Assistance</t>
    </r>
    <r>
      <rPr>
        <b/>
        <vertAlign val="superscript"/>
        <sz val="8"/>
        <rFont val="Arial"/>
        <family val="2"/>
      </rPr>
      <t>2</t>
    </r>
  </si>
  <si>
    <r>
      <t>Race of Householder</t>
    </r>
    <r>
      <rPr>
        <b/>
        <vertAlign val="superscript"/>
        <sz val="8"/>
        <rFont val="Arial"/>
        <family val="2"/>
      </rPr>
      <t>3</t>
    </r>
  </si>
  <si>
    <r>
      <t>A quad is a unit of energy equal to 10</t>
    </r>
    <r>
      <rPr>
        <vertAlign val="superscript"/>
        <sz val="8"/>
        <rFont val="Arial"/>
        <family val="2"/>
      </rPr>
      <t>15</t>
    </r>
    <r>
      <rPr>
        <sz val="8"/>
        <rFont val="Arial"/>
        <family val="2"/>
      </rPr>
      <t xml:space="preserve"> (a short-scale quadrillion) BTU</t>
    </r>
  </si>
  <si>
    <t>BTUs</t>
  </si>
  <si>
    <r>
      <t>Price per Dth (Residential)</t>
    </r>
    <r>
      <rPr>
        <vertAlign val="superscript"/>
        <sz val="10"/>
        <rFont val="Arial"/>
        <family val="2"/>
      </rPr>
      <t xml:space="preserve"> 1</t>
    </r>
  </si>
  <si>
    <t>Unit</t>
  </si>
  <si>
    <t>Per Sq. Ft.</t>
  </si>
  <si>
    <t>Dth Per Sq. Ft.</t>
  </si>
  <si>
    <t>Dth Per Household</t>
  </si>
  <si>
    <t>14 Decatherms a month</t>
  </si>
  <si>
    <t>200 per Month</t>
  </si>
  <si>
    <t>Questar Information: Contacted Mike Jaynes (Questar Gas Salt Lake Regional Manager)</t>
  </si>
  <si>
    <t xml:space="preserve">Summer Rates: Apr. 1 - Oct. 31 </t>
  </si>
  <si>
    <t xml:space="preserve">Winter Rates: Nov. 1 - Mar. 31 </t>
  </si>
  <si>
    <t>First 45 Dth</t>
  </si>
  <si>
    <t xml:space="preserve">All Over 45 Dth </t>
  </si>
  <si>
    <t>Residential Rate (GS Rate)</t>
  </si>
  <si>
    <t>Commercial (FS Rate)</t>
  </si>
  <si>
    <t>First</t>
  </si>
  <si>
    <t>Next</t>
  </si>
  <si>
    <t>All Over</t>
  </si>
  <si>
    <t>200 Dth</t>
  </si>
  <si>
    <t>1,800 Dth</t>
  </si>
  <si>
    <t>2,000 Dth</t>
  </si>
  <si>
    <t>Decatherms</t>
  </si>
  <si>
    <t>Square Feet</t>
  </si>
  <si>
    <t>West Bountiful</t>
  </si>
  <si>
    <t>Total Revenue</t>
  </si>
  <si>
    <t>Tax Revenue</t>
  </si>
  <si>
    <t>Telecom Tax</t>
  </si>
  <si>
    <t>Jan</t>
  </si>
  <si>
    <t>Feb</t>
  </si>
  <si>
    <t>Mar</t>
  </si>
  <si>
    <t>Apr</t>
  </si>
  <si>
    <t>May</t>
  </si>
  <si>
    <t>Jun</t>
  </si>
  <si>
    <t>Jul</t>
  </si>
  <si>
    <t>Aug</t>
  </si>
  <si>
    <t>Sep</t>
  </si>
  <si>
    <t>Oct</t>
  </si>
  <si>
    <t>Nov</t>
  </si>
  <si>
    <t>Dec</t>
  </si>
  <si>
    <t>187.566(U)</t>
  </si>
  <si>
    <t>187.493(U)</t>
  </si>
  <si>
    <t>196.552(U)</t>
  </si>
  <si>
    <t>204.463(U)</t>
  </si>
  <si>
    <t>217.985(U)</t>
  </si>
  <si>
    <t>233.348(U)</t>
  </si>
  <si>
    <t>238.177(U)</t>
  </si>
  <si>
    <t>226.824(U)</t>
  </si>
  <si>
    <t>219.633(U)</t>
  </si>
  <si>
    <t>198.080(U)</t>
  </si>
  <si>
    <t>161.236(U)</t>
  </si>
  <si>
    <t>142.529(U)</t>
  </si>
  <si>
    <t>146.297(I)</t>
  </si>
  <si>
    <t>150.780(I)</t>
  </si>
  <si>
    <t>149.828(I)</t>
  </si>
  <si>
    <t>152.229(I)</t>
  </si>
  <si>
    <t>http://data.bls.gov/PDQ/servlet/SurveyOutputServlet;jsessionid=a2301efeae9556685055</t>
  </si>
  <si>
    <t>U : Interim</t>
  </si>
  <si>
    <t>I : Initial</t>
  </si>
  <si>
    <t>Inflation (CPI)</t>
  </si>
  <si>
    <r>
      <t>Series Id:    </t>
    </r>
    <r>
      <rPr>
        <sz val="10"/>
        <rFont val="Arial Unicode MS"/>
        <family val="2"/>
      </rPr>
      <t>SUUR0000SAE</t>
    </r>
  </si>
  <si>
    <t>Not Seasonally Adjusted</t>
  </si>
  <si>
    <r>
      <t>Area:         </t>
    </r>
    <r>
      <rPr>
        <sz val="10"/>
        <rFont val="Arial Unicode MS"/>
        <family val="2"/>
      </rPr>
      <t>U.S. city average</t>
    </r>
  </si>
  <si>
    <r>
      <t>Item:         </t>
    </r>
    <r>
      <rPr>
        <sz val="10"/>
        <rFont val="Arial Unicode MS"/>
        <family val="2"/>
      </rPr>
      <t>Education and communication</t>
    </r>
  </si>
  <si>
    <r>
      <t>Base Period:  </t>
    </r>
    <r>
      <rPr>
        <sz val="10"/>
        <rFont val="Arial Unicode MS"/>
        <family val="2"/>
      </rPr>
      <t>DECEMBER 1999=100</t>
    </r>
  </si>
  <si>
    <t>106.415(U)</t>
  </si>
  <si>
    <t>106.421(U)</t>
  </si>
  <si>
    <t>106.468(U)</t>
  </si>
  <si>
    <t>106.639(U)</t>
  </si>
  <si>
    <t>106.819(U)</t>
  </si>
  <si>
    <t>107.183(U)</t>
  </si>
  <si>
    <t>107.690(U)</t>
  </si>
  <si>
    <t>108.593(U)</t>
  </si>
  <si>
    <t>109.184(U)</t>
  </si>
  <si>
    <t>109.317(U)</t>
  </si>
  <si>
    <t>109.369(U)</t>
  </si>
  <si>
    <t>109.496(U)</t>
  </si>
  <si>
    <t>109.680(I)</t>
  </si>
  <si>
    <t>109.693(I)</t>
  </si>
  <si>
    <t>109.639(I)</t>
  </si>
  <si>
    <t>109.709(I)</t>
  </si>
  <si>
    <t>http://data.bls.gov/PDQ/servlet/SurveyOutputServlet;jsessionid=a23015621e04711184c4</t>
  </si>
  <si>
    <t>North Salt Lake</t>
  </si>
  <si>
    <r>
      <t>Price per Dth (Commercial)</t>
    </r>
    <r>
      <rPr>
        <vertAlign val="superscript"/>
        <sz val="10"/>
        <rFont val="Arial"/>
        <family val="2"/>
      </rPr>
      <t xml:space="preserve"> 1</t>
    </r>
  </si>
  <si>
    <t>Note 2: Commercial usage estimates based on Energy Information Administration data</t>
  </si>
  <si>
    <t>Note 1: Residential and Commercial price per Dth data from Questar Gas.</t>
  </si>
  <si>
    <t>Public Safety</t>
  </si>
  <si>
    <t>UTAH CODE TITLE 59, CHAPTER 12</t>
  </si>
  <si>
    <t/>
  </si>
  <si>
    <t>SALES &amp; USE TAX ACT</t>
  </si>
  <si>
    <t>COMBINED SALES AND USE TAX RATES</t>
  </si>
  <si>
    <t>Tax Rates Subject to Streamline Sales Tax Rules</t>
  </si>
  <si>
    <t>OTHER TAXES APPLY TO CERTAIN TRANSACTIONS</t>
  </si>
  <si>
    <t>Please see instructions below</t>
  </si>
  <si>
    <t>Cnty/</t>
  </si>
  <si>
    <t>Code</t>
  </si>
  <si>
    <t>for</t>
  </si>
  <si>
    <t>Combined</t>
  </si>
  <si>
    <t>Location</t>
  </si>
  <si>
    <t>P.S.D.</t>
  </si>
  <si>
    <t>ST*</t>
  </si>
  <si>
    <t>LS</t>
  </si>
  <si>
    <t>MT</t>
  </si>
  <si>
    <t>MA</t>
  </si>
  <si>
    <t>MF</t>
  </si>
  <si>
    <t>CT</t>
  </si>
  <si>
    <t>SM</t>
  </si>
  <si>
    <t>HH</t>
  </si>
  <si>
    <t>RH</t>
  </si>
  <si>
    <t>CZ</t>
  </si>
  <si>
    <t>MZ</t>
  </si>
  <si>
    <t>HT</t>
  </si>
  <si>
    <t>CO</t>
  </si>
  <si>
    <t>TO</t>
  </si>
  <si>
    <t>TN</t>
  </si>
  <si>
    <t>RR</t>
  </si>
  <si>
    <t>RA</t>
  </si>
  <si>
    <t>Sales Rate</t>
  </si>
  <si>
    <t>Beaver County</t>
  </si>
  <si>
    <t>01-000</t>
  </si>
  <si>
    <t>*</t>
  </si>
  <si>
    <t>Beaver City</t>
  </si>
  <si>
    <t>01-002</t>
  </si>
  <si>
    <t>Milford</t>
  </si>
  <si>
    <t>01-008</t>
  </si>
  <si>
    <t>Minersville</t>
  </si>
  <si>
    <t>01-009</t>
  </si>
  <si>
    <t>Box Elder County</t>
  </si>
  <si>
    <t>02-000</t>
  </si>
  <si>
    <t>Bear River</t>
  </si>
  <si>
    <t>02-004</t>
  </si>
  <si>
    <t>Brigham</t>
  </si>
  <si>
    <t>02-017</t>
  </si>
  <si>
    <t>Corinne</t>
  </si>
  <si>
    <t>02-025</t>
  </si>
  <si>
    <t>Deweyville</t>
  </si>
  <si>
    <t>02-032</t>
  </si>
  <si>
    <t>Elwood</t>
  </si>
  <si>
    <t>02-035</t>
  </si>
  <si>
    <t>Fielding</t>
  </si>
  <si>
    <t>02-041</t>
  </si>
  <si>
    <t>Garland</t>
  </si>
  <si>
    <t>02-044</t>
  </si>
  <si>
    <t>Honeyville</t>
  </si>
  <si>
    <t>02-054</t>
  </si>
  <si>
    <t>Howell</t>
  </si>
  <si>
    <t>02-057</t>
  </si>
  <si>
    <t>Mantua</t>
  </si>
  <si>
    <t>02-069</t>
  </si>
  <si>
    <t>Perry</t>
  </si>
  <si>
    <t>02-086</t>
  </si>
  <si>
    <t>Plymouth</t>
  </si>
  <si>
    <t>02-090</t>
  </si>
  <si>
    <t>Portage</t>
  </si>
  <si>
    <t>02-092</t>
  </si>
  <si>
    <t>Snowville</t>
  </si>
  <si>
    <t>02-100</t>
  </si>
  <si>
    <t>Tremonton</t>
  </si>
  <si>
    <t>02-113</t>
  </si>
  <si>
    <t>Willard</t>
  </si>
  <si>
    <t>02-120</t>
  </si>
  <si>
    <t>Cache County</t>
  </si>
  <si>
    <t>03-000</t>
  </si>
  <si>
    <t>Amalga</t>
  </si>
  <si>
    <t>03-001</t>
  </si>
  <si>
    <t>Clarkston</t>
  </si>
  <si>
    <t>03-014</t>
  </si>
  <si>
    <t>Cornish</t>
  </si>
  <si>
    <t>03-017</t>
  </si>
  <si>
    <t>Hyde Park</t>
  </si>
  <si>
    <t>03-032</t>
  </si>
  <si>
    <t>Hyrum</t>
  </si>
  <si>
    <t>03-033</t>
  </si>
  <si>
    <t>Lewiston</t>
  </si>
  <si>
    <t>03-036</t>
  </si>
  <si>
    <t>Logan</t>
  </si>
  <si>
    <t>03-038</t>
  </si>
  <si>
    <t>Mendon</t>
  </si>
  <si>
    <t>03-041</t>
  </si>
  <si>
    <t>Millville</t>
  </si>
  <si>
    <t>03-044</t>
  </si>
  <si>
    <t>Newton</t>
  </si>
  <si>
    <t>03-047</t>
  </si>
  <si>
    <t>North Logan</t>
  </si>
  <si>
    <t>03-049</t>
  </si>
  <si>
    <t>Paradise</t>
  </si>
  <si>
    <t>03-053</t>
  </si>
  <si>
    <t>Providence</t>
  </si>
  <si>
    <t>03-056</t>
  </si>
  <si>
    <t>Richmond</t>
  </si>
  <si>
    <t>03-059</t>
  </si>
  <si>
    <t>River Heights</t>
  </si>
  <si>
    <t>03-060</t>
  </si>
  <si>
    <t>Smithfield</t>
  </si>
  <si>
    <t>03-062</t>
  </si>
  <si>
    <t>Wellsville</t>
  </si>
  <si>
    <t>03-076</t>
  </si>
  <si>
    <t>Trenton</t>
  </si>
  <si>
    <t>03-081</t>
  </si>
  <si>
    <t>Nibley</t>
  </si>
  <si>
    <t>03-098</t>
  </si>
  <si>
    <t>Cache Valley Transit</t>
  </si>
  <si>
    <t>(a)</t>
  </si>
  <si>
    <t>03-900</t>
  </si>
  <si>
    <t>Carbon County</t>
  </si>
  <si>
    <t>04-000</t>
  </si>
  <si>
    <t>Helper</t>
  </si>
  <si>
    <t>04-016</t>
  </si>
  <si>
    <t>Price</t>
  </si>
  <si>
    <t>04-035</t>
  </si>
  <si>
    <t>Scofield</t>
  </si>
  <si>
    <t>04-040</t>
  </si>
  <si>
    <t>Sunnyside</t>
  </si>
  <si>
    <t>04-046</t>
  </si>
  <si>
    <t>Wellington</t>
  </si>
  <si>
    <t>04-053</t>
  </si>
  <si>
    <t>East Carbon</t>
  </si>
  <si>
    <t>04-058</t>
  </si>
  <si>
    <t>Daggett County</t>
  </si>
  <si>
    <t>05-000</t>
  </si>
  <si>
    <t>Manila</t>
  </si>
  <si>
    <t>05-006</t>
  </si>
  <si>
    <t>06-000</t>
  </si>
  <si>
    <t>Bountiful</t>
  </si>
  <si>
    <t>06-004</t>
  </si>
  <si>
    <t>Centerville</t>
  </si>
  <si>
    <t>06-006</t>
  </si>
  <si>
    <t>Clearfield</t>
  </si>
  <si>
    <t>06-008</t>
  </si>
  <si>
    <t>Fruit Heights</t>
  </si>
  <si>
    <t>06-010</t>
  </si>
  <si>
    <t>Farmington</t>
  </si>
  <si>
    <t>06-017</t>
  </si>
  <si>
    <t>Kaysville</t>
  </si>
  <si>
    <t>06-026</t>
  </si>
  <si>
    <t>Layton</t>
  </si>
  <si>
    <t>06-030</t>
  </si>
  <si>
    <t>06-035</t>
  </si>
  <si>
    <t>South Weber</t>
  </si>
  <si>
    <t>06-045</t>
  </si>
  <si>
    <t>Sunset</t>
  </si>
  <si>
    <t>06-048</t>
  </si>
  <si>
    <t>Syracuse</t>
  </si>
  <si>
    <t>06-049</t>
  </si>
  <si>
    <t>West Point</t>
  </si>
  <si>
    <t>06-056</t>
  </si>
  <si>
    <t>06-057</t>
  </si>
  <si>
    <t>Clinton</t>
  </si>
  <si>
    <t>06-059</t>
  </si>
  <si>
    <t>06-061</t>
  </si>
  <si>
    <t>Duchesne County</t>
  </si>
  <si>
    <t>07-000</t>
  </si>
  <si>
    <t>Altamont</t>
  </si>
  <si>
    <t>07-001</t>
  </si>
  <si>
    <t>Duchesne City</t>
  </si>
  <si>
    <t>07-008</t>
  </si>
  <si>
    <t>Myton</t>
  </si>
  <si>
    <t>07-017</t>
  </si>
  <si>
    <t>Roosevelt</t>
  </si>
  <si>
    <t>07-019</t>
  </si>
  <si>
    <t>Tabiona</t>
  </si>
  <si>
    <t>07-020</t>
  </si>
  <si>
    <t>Emery County</t>
  </si>
  <si>
    <t>08-000</t>
  </si>
  <si>
    <t>Castle Dale</t>
  </si>
  <si>
    <t>08-001</t>
  </si>
  <si>
    <t>Clawson</t>
  </si>
  <si>
    <t>08-003</t>
  </si>
  <si>
    <t>Cleveland</t>
  </si>
  <si>
    <t>08-004</t>
  </si>
  <si>
    <t>Elmo</t>
  </si>
  <si>
    <t>08-007</t>
  </si>
  <si>
    <t>Emery City</t>
  </si>
  <si>
    <t>08-008</t>
  </si>
  <si>
    <t>Ferron</t>
  </si>
  <si>
    <t>08-009</t>
  </si>
  <si>
    <t>Green River</t>
  </si>
  <si>
    <t>08-011</t>
  </si>
  <si>
    <t>Huntington</t>
  </si>
  <si>
    <t>08-012</t>
  </si>
  <si>
    <t>Orangeville</t>
  </si>
  <si>
    <t>08-016</t>
  </si>
  <si>
    <t>Garfield County</t>
  </si>
  <si>
    <t>09-000</t>
  </si>
  <si>
    <t>Antimony</t>
  </si>
  <si>
    <t>09-001</t>
  </si>
  <si>
    <t>Boulder</t>
  </si>
  <si>
    <t>09-002</t>
  </si>
  <si>
    <t>Bryce Canyon</t>
  </si>
  <si>
    <t>09-003</t>
  </si>
  <si>
    <t>Cannonville</t>
  </si>
  <si>
    <t>09-004</t>
  </si>
  <si>
    <t>Escalante</t>
  </si>
  <si>
    <t>09-005</t>
  </si>
  <si>
    <t>Hatch</t>
  </si>
  <si>
    <t>09-006</t>
  </si>
  <si>
    <t>Henrieville</t>
  </si>
  <si>
    <t>09-008</t>
  </si>
  <si>
    <t>Panguitch</t>
  </si>
  <si>
    <t>09-011</t>
  </si>
  <si>
    <t>Tropic</t>
  </si>
  <si>
    <t>09-015</t>
  </si>
  <si>
    <t>Grand County</t>
  </si>
  <si>
    <t>10-000</t>
  </si>
  <si>
    <t>Castle Valley</t>
  </si>
  <si>
    <t>10-005</t>
  </si>
  <si>
    <t>Moab</t>
  </si>
  <si>
    <t>10-011</t>
  </si>
  <si>
    <t>Iron County</t>
  </si>
  <si>
    <t>11-000</t>
  </si>
  <si>
    <t>Cedar City</t>
  </si>
  <si>
    <t>11-003</t>
  </si>
  <si>
    <t>Enoch</t>
  </si>
  <si>
    <t>11-005</t>
  </si>
  <si>
    <t>Kanarraville</t>
  </si>
  <si>
    <t>11-012</t>
  </si>
  <si>
    <t>Paragonah</t>
  </si>
  <si>
    <t>11-018</t>
  </si>
  <si>
    <t>Parowan</t>
  </si>
  <si>
    <t>11-019</t>
  </si>
  <si>
    <t>Brian Head</t>
  </si>
  <si>
    <t>11-028</t>
  </si>
  <si>
    <t>Juab County</t>
  </si>
  <si>
    <t>12-000</t>
  </si>
  <si>
    <t>Eureka</t>
  </si>
  <si>
    <t>12-009</t>
  </si>
  <si>
    <t>Levan</t>
  </si>
  <si>
    <t>12-019</t>
  </si>
  <si>
    <t>Mona</t>
  </si>
  <si>
    <t>12-024</t>
  </si>
  <si>
    <t>Nephi</t>
  </si>
  <si>
    <t>12-026</t>
  </si>
  <si>
    <t>Rocky Ridge Town</t>
  </si>
  <si>
    <t>12-030</t>
  </si>
  <si>
    <t>Kane County</t>
  </si>
  <si>
    <t>13-000</t>
  </si>
  <si>
    <t>Alton</t>
  </si>
  <si>
    <t>13-001</t>
  </si>
  <si>
    <t>Glendale</t>
  </si>
  <si>
    <t>13-002</t>
  </si>
  <si>
    <t>Kanab</t>
  </si>
  <si>
    <t>13-004</t>
  </si>
  <si>
    <t>Orderville</t>
  </si>
  <si>
    <t>13-007</t>
  </si>
  <si>
    <t>Big Water</t>
  </si>
  <si>
    <t>13-010</t>
  </si>
  <si>
    <t>Millard County</t>
  </si>
  <si>
    <t>14-000</t>
  </si>
  <si>
    <t>Delta</t>
  </si>
  <si>
    <t>14-010</t>
  </si>
  <si>
    <t>Fillmore</t>
  </si>
  <si>
    <t>14-014</t>
  </si>
  <si>
    <t>Hinckley</t>
  </si>
  <si>
    <t>14-023</t>
  </si>
  <si>
    <t>Holden</t>
  </si>
  <si>
    <t>14-024</t>
  </si>
  <si>
    <t>Kanosh</t>
  </si>
  <si>
    <t>14-026</t>
  </si>
  <si>
    <t>Leamington</t>
  </si>
  <si>
    <t>14-028</t>
  </si>
  <si>
    <t>Lynndyl</t>
  </si>
  <si>
    <t>14-030</t>
  </si>
  <si>
    <t>Meadow</t>
  </si>
  <si>
    <t>14-034</t>
  </si>
  <si>
    <t>Oak City</t>
  </si>
  <si>
    <t>14-037</t>
  </si>
  <si>
    <t>Scipio</t>
  </si>
  <si>
    <t>14-040</t>
  </si>
  <si>
    <t>Morgan County</t>
  </si>
  <si>
    <t>15-000</t>
  </si>
  <si>
    <t>Morgan City</t>
  </si>
  <si>
    <t>15-007</t>
  </si>
  <si>
    <t>Piute County</t>
  </si>
  <si>
    <t>16-000</t>
  </si>
  <si>
    <t>Circleville</t>
  </si>
  <si>
    <t>16-003</t>
  </si>
  <si>
    <t>Junction</t>
  </si>
  <si>
    <t>16-005</t>
  </si>
  <si>
    <t>Kingston</t>
  </si>
  <si>
    <t>16-006</t>
  </si>
  <si>
    <t>Marysvale</t>
  </si>
  <si>
    <t>16-007</t>
  </si>
  <si>
    <t>Rich County</t>
  </si>
  <si>
    <t>17-000</t>
  </si>
  <si>
    <t>Garden City</t>
  </si>
  <si>
    <t>17-001</t>
  </si>
  <si>
    <t>Laketown</t>
  </si>
  <si>
    <t>17-002</t>
  </si>
  <si>
    <t>Randolph</t>
  </si>
  <si>
    <t>17-005</t>
  </si>
  <si>
    <t>Woodruff</t>
  </si>
  <si>
    <t>17-010</t>
  </si>
  <si>
    <t>18-000</t>
  </si>
  <si>
    <t>Alta</t>
  </si>
  <si>
    <t>18-003</t>
  </si>
  <si>
    <t>Bluffdale</t>
  </si>
  <si>
    <t>18-019</t>
  </si>
  <si>
    <t>Cottonwood Heights</t>
  </si>
  <si>
    <t>18-020</t>
  </si>
  <si>
    <t>Draper</t>
  </si>
  <si>
    <t>18-039</t>
  </si>
  <si>
    <t>Herriman</t>
  </si>
  <si>
    <t>18-060</t>
  </si>
  <si>
    <t>Holladay</t>
  </si>
  <si>
    <t>18-065</t>
  </si>
  <si>
    <t>Midvale</t>
  </si>
  <si>
    <t>18-093</t>
  </si>
  <si>
    <t>Murray</t>
  </si>
  <si>
    <t>18-096</t>
  </si>
  <si>
    <t>Riverton</t>
  </si>
  <si>
    <t>18-118</t>
  </si>
  <si>
    <t>Salt Lake City</t>
  </si>
  <si>
    <t>18-122</t>
  </si>
  <si>
    <t>Sandy</t>
  </si>
  <si>
    <t>18-131</t>
  </si>
  <si>
    <t>South Jordan</t>
  </si>
  <si>
    <t>18-138</t>
  </si>
  <si>
    <t>South Salt Lake</t>
  </si>
  <si>
    <t>18-139</t>
  </si>
  <si>
    <t>Taylorsville</t>
  </si>
  <si>
    <t>18-142</t>
  </si>
  <si>
    <t>West Jordan</t>
  </si>
  <si>
    <t>18-155</t>
  </si>
  <si>
    <t>West Valley City</t>
  </si>
  <si>
    <t>18-167</t>
  </si>
  <si>
    <t>San Juan County</t>
  </si>
  <si>
    <t>19-000</t>
  </si>
  <si>
    <t>Blanding</t>
  </si>
  <si>
    <t>19-002</t>
  </si>
  <si>
    <t>Monticello</t>
  </si>
  <si>
    <t>19-009</t>
  </si>
  <si>
    <t>Sanpete County</t>
  </si>
  <si>
    <t>20-000</t>
  </si>
  <si>
    <t>Centerfield</t>
  </si>
  <si>
    <t>20-004</t>
  </si>
  <si>
    <t>Ephraim</t>
  </si>
  <si>
    <t>20-008</t>
  </si>
  <si>
    <t>Fairview</t>
  </si>
  <si>
    <t>20-009</t>
  </si>
  <si>
    <t>Fayette</t>
  </si>
  <si>
    <t>20-010</t>
  </si>
  <si>
    <t>Fountain Green</t>
  </si>
  <si>
    <t>20-011</t>
  </si>
  <si>
    <t>Gunnison</t>
  </si>
  <si>
    <t>20-014</t>
  </si>
  <si>
    <t>Manti</t>
  </si>
  <si>
    <t>20-020</t>
  </si>
  <si>
    <t>Mayfield</t>
  </si>
  <si>
    <t>20-021</t>
  </si>
  <si>
    <t>Moroni</t>
  </si>
  <si>
    <t>20-023</t>
  </si>
  <si>
    <t>Mt. Pleasant</t>
  </si>
  <si>
    <t>20-024</t>
  </si>
  <si>
    <t>Spring City</t>
  </si>
  <si>
    <t>20-031</t>
  </si>
  <si>
    <t>Sterling</t>
  </si>
  <si>
    <t>20-032</t>
  </si>
  <si>
    <t>Wales</t>
  </si>
  <si>
    <t>20-033</t>
  </si>
  <si>
    <t>Sevier County</t>
  </si>
  <si>
    <t>21-000</t>
  </si>
  <si>
    <t>Annabella</t>
  </si>
  <si>
    <t>21-001</t>
  </si>
  <si>
    <t>Aurora</t>
  </si>
  <si>
    <t>21-002</t>
  </si>
  <si>
    <t>Central Valley</t>
  </si>
  <si>
    <t>21-007</t>
  </si>
  <si>
    <t>Elsinore</t>
  </si>
  <si>
    <t>21-014</t>
  </si>
  <si>
    <t>Glenwood</t>
  </si>
  <si>
    <t>21-018</t>
  </si>
  <si>
    <t>Joseph</t>
  </si>
  <si>
    <t>21-025</t>
  </si>
  <si>
    <t>Koosharem</t>
  </si>
  <si>
    <t>21-029</t>
  </si>
  <si>
    <t>Monroe</t>
  </si>
  <si>
    <t>21-031</t>
  </si>
  <si>
    <t>Redmond</t>
  </si>
  <si>
    <t>21-033</t>
  </si>
  <si>
    <t>Richfield</t>
  </si>
  <si>
    <t>21-034</t>
  </si>
  <si>
    <t>Salina</t>
  </si>
  <si>
    <t>21-035</t>
  </si>
  <si>
    <t>Sigurd</t>
  </si>
  <si>
    <t>21-038</t>
  </si>
  <si>
    <t>Summit County</t>
  </si>
  <si>
    <t>22-000</t>
  </si>
  <si>
    <t>Coalville</t>
  </si>
  <si>
    <t>22-006</t>
  </si>
  <si>
    <t>Francis</t>
  </si>
  <si>
    <t>22-013</t>
  </si>
  <si>
    <t>Henefer</t>
  </si>
  <si>
    <t>22-017</t>
  </si>
  <si>
    <t>Kamas</t>
  </si>
  <si>
    <t>22-022</t>
  </si>
  <si>
    <t>Oakley</t>
  </si>
  <si>
    <t>22-029</t>
  </si>
  <si>
    <t>Park City</t>
  </si>
  <si>
    <t>22-030</t>
  </si>
  <si>
    <t>Snyderville Basin Tr Dist</t>
  </si>
  <si>
    <t>22-900</t>
  </si>
  <si>
    <t>Tooele County</t>
  </si>
  <si>
    <t>23-000</t>
  </si>
  <si>
    <t>Erda</t>
  </si>
  <si>
    <t>23-017</t>
  </si>
  <si>
    <t>Grantsville</t>
  </si>
  <si>
    <t>23-023</t>
  </si>
  <si>
    <t>Lakepoint</t>
  </si>
  <si>
    <t>23-030</t>
  </si>
  <si>
    <t>Lincoln</t>
  </si>
  <si>
    <t>23-065</t>
  </si>
  <si>
    <t>Ophir</t>
  </si>
  <si>
    <t>23-037</t>
  </si>
  <si>
    <t>Stockton</t>
  </si>
  <si>
    <t>23-046</t>
  </si>
  <si>
    <t>Tooele City</t>
  </si>
  <si>
    <t>23-048</t>
  </si>
  <si>
    <t>Vernon</t>
  </si>
  <si>
    <t>23-050</t>
  </si>
  <si>
    <t>Wendover</t>
  </si>
  <si>
    <t>23-052</t>
  </si>
  <si>
    <t>Rush Valley</t>
  </si>
  <si>
    <t>23-056</t>
  </si>
  <si>
    <t>Stansbury Park</t>
  </si>
  <si>
    <t>23-066</t>
  </si>
  <si>
    <t>Uintah County</t>
  </si>
  <si>
    <t>24-000</t>
  </si>
  <si>
    <t>Naples</t>
  </si>
  <si>
    <t>24-014</t>
  </si>
  <si>
    <t>Vernal</t>
  </si>
  <si>
    <t>24-024</t>
  </si>
  <si>
    <t>Ballard</t>
  </si>
  <si>
    <t>24-028</t>
  </si>
  <si>
    <t>Utah County</t>
  </si>
  <si>
    <t>25-000</t>
  </si>
  <si>
    <t>Alpine</t>
  </si>
  <si>
    <t>25-001</t>
  </si>
  <si>
    <t>American Fork</t>
  </si>
  <si>
    <t>25-002</t>
  </si>
  <si>
    <t>Cedar Fort</t>
  </si>
  <si>
    <t>25-019</t>
  </si>
  <si>
    <t>Draper City South</t>
  </si>
  <si>
    <t>25-029</t>
  </si>
  <si>
    <t>Eagle Mountain</t>
  </si>
  <si>
    <t>25-030</t>
  </si>
  <si>
    <t>Fairfield</t>
  </si>
  <si>
    <t>25-035</t>
  </si>
  <si>
    <t>Genola</t>
  </si>
  <si>
    <t>25-038</t>
  </si>
  <si>
    <t>Goshen</t>
  </si>
  <si>
    <t>25-043</t>
  </si>
  <si>
    <t>Lehi</t>
  </si>
  <si>
    <t>25-066</t>
  </si>
  <si>
    <t>Lindon</t>
  </si>
  <si>
    <t>25-070</t>
  </si>
  <si>
    <t>Mapleton</t>
  </si>
  <si>
    <t>25-073</t>
  </si>
  <si>
    <t>Orem</t>
  </si>
  <si>
    <t>25-083</t>
  </si>
  <si>
    <t>Payson</t>
  </si>
  <si>
    <t>25-085</t>
  </si>
  <si>
    <t>Pleasant Grove</t>
  </si>
  <si>
    <t>25-088</t>
  </si>
  <si>
    <t>Provo</t>
  </si>
  <si>
    <t>25-090</t>
  </si>
  <si>
    <t>Salem</t>
  </si>
  <si>
    <t>25-096</t>
  </si>
  <si>
    <t>Santaquin</t>
  </si>
  <si>
    <t>25-097</t>
  </si>
  <si>
    <t>Saratoga Springs</t>
  </si>
  <si>
    <t>25-098</t>
  </si>
  <si>
    <t>Highland</t>
  </si>
  <si>
    <t>25-099</t>
  </si>
  <si>
    <t>Spanish Fork</t>
  </si>
  <si>
    <t>25-103</t>
  </si>
  <si>
    <t>Springville</t>
  </si>
  <si>
    <t>25-106</t>
  </si>
  <si>
    <t>Vineyard</t>
  </si>
  <si>
    <t>25-117</t>
  </si>
  <si>
    <t>Cedar Hills</t>
  </si>
  <si>
    <t>25-123</t>
  </si>
  <si>
    <t>Elk Ridge</t>
  </si>
  <si>
    <t>25-124</t>
  </si>
  <si>
    <t>Woodland Hills</t>
  </si>
  <si>
    <t>25-125</t>
  </si>
  <si>
    <t>Wasatch County</t>
  </si>
  <si>
    <t>26-000</t>
  </si>
  <si>
    <t>Charleston</t>
  </si>
  <si>
    <t>26-003</t>
  </si>
  <si>
    <t>Daniel</t>
  </si>
  <si>
    <t>26-005</t>
  </si>
  <si>
    <t>Heber</t>
  </si>
  <si>
    <t>26-008</t>
  </si>
  <si>
    <t>Independence</t>
  </si>
  <si>
    <t>26-009</t>
  </si>
  <si>
    <t>Midway</t>
  </si>
  <si>
    <t>26-011</t>
  </si>
  <si>
    <t>Park City East</t>
  </si>
  <si>
    <t>26-013</t>
  </si>
  <si>
    <t>Wallsburg</t>
  </si>
  <si>
    <t>26-014</t>
  </si>
  <si>
    <t>Hideout</t>
  </si>
  <si>
    <t>26-020</t>
  </si>
  <si>
    <t>Washington County</t>
  </si>
  <si>
    <t>27-000</t>
  </si>
  <si>
    <t>Apple Valley</t>
  </si>
  <si>
    <t>27-002</t>
  </si>
  <si>
    <t>Enterprise</t>
  </si>
  <si>
    <t>27-005</t>
  </si>
  <si>
    <t>Hurricane</t>
  </si>
  <si>
    <t>27-008</t>
  </si>
  <si>
    <t>Ivins</t>
  </si>
  <si>
    <t>27-010</t>
  </si>
  <si>
    <t>La Verkin</t>
  </si>
  <si>
    <t>27-011</t>
  </si>
  <si>
    <t>Leeds</t>
  </si>
  <si>
    <t>27-012</t>
  </si>
  <si>
    <t>New Harmony</t>
  </si>
  <si>
    <t>27-015</t>
  </si>
  <si>
    <t>Rockville</t>
  </si>
  <si>
    <t>27-019</t>
  </si>
  <si>
    <t>St George</t>
  </si>
  <si>
    <t>27-020</t>
  </si>
  <si>
    <t>Santa Clara</t>
  </si>
  <si>
    <t>27-021</t>
  </si>
  <si>
    <t>Springdale</t>
  </si>
  <si>
    <t>27-023</t>
  </si>
  <si>
    <t>Toquerville</t>
  </si>
  <si>
    <t>27-024</t>
  </si>
  <si>
    <t>Virgin</t>
  </si>
  <si>
    <t>27-026</t>
  </si>
  <si>
    <t>Washington City</t>
  </si>
  <si>
    <t>27-027</t>
  </si>
  <si>
    <t>Hildale</t>
  </si>
  <si>
    <t>27-035</t>
  </si>
  <si>
    <t>Wayne County</t>
  </si>
  <si>
    <t>28-000</t>
  </si>
  <si>
    <t>Bicknell</t>
  </si>
  <si>
    <t>28-001</t>
  </si>
  <si>
    <t>Hanksville</t>
  </si>
  <si>
    <t>28-005</t>
  </si>
  <si>
    <t>Loa</t>
  </si>
  <si>
    <t>28-007</t>
  </si>
  <si>
    <t>Lyman</t>
  </si>
  <si>
    <t>28-008</t>
  </si>
  <si>
    <t>Torrey</t>
  </si>
  <si>
    <t>28-010</t>
  </si>
  <si>
    <t>Weber County</t>
  </si>
  <si>
    <t>29-000</t>
  </si>
  <si>
    <t>Farr West</t>
  </si>
  <si>
    <t>29-012</t>
  </si>
  <si>
    <t>Harrisville</t>
  </si>
  <si>
    <t>29-016</t>
  </si>
  <si>
    <t>Hooper</t>
  </si>
  <si>
    <t>29-018</t>
  </si>
  <si>
    <t>Huntsville</t>
  </si>
  <si>
    <t>29-019</t>
  </si>
  <si>
    <t>Marriott-Slaterville</t>
  </si>
  <si>
    <t>29-022</t>
  </si>
  <si>
    <t>North Ogden</t>
  </si>
  <si>
    <t>29-026</t>
  </si>
  <si>
    <t>Ogden</t>
  </si>
  <si>
    <t>29-027</t>
  </si>
  <si>
    <t>Plain City</t>
  </si>
  <si>
    <t>29-030</t>
  </si>
  <si>
    <t>Pleasant View</t>
  </si>
  <si>
    <t>29-031</t>
  </si>
  <si>
    <t>Riverdale</t>
  </si>
  <si>
    <t>29-036</t>
  </si>
  <si>
    <t>Roy</t>
  </si>
  <si>
    <t>29-037</t>
  </si>
  <si>
    <t>South Ogden</t>
  </si>
  <si>
    <t>29-040</t>
  </si>
  <si>
    <t>Uintah</t>
  </si>
  <si>
    <t>29-043</t>
  </si>
  <si>
    <t>Washington Terrace</t>
  </si>
  <si>
    <t>29-049</t>
  </si>
  <si>
    <t>West Haven</t>
  </si>
  <si>
    <t>29-051</t>
  </si>
  <si>
    <t>INSTRUCTIONS:</t>
  </si>
  <si>
    <t xml:space="preserve">The combined sales rate for the various localities in this section applies to all taxable sales in the state.  Other taxes and fees, such as transient room, short-term vehicle leasing, restaurant, telecommunications and municipal energy are in addition to the combined rate.  Please see the following section for these rates.  Refer to Publication 25 for more information on the taxability of certain transactions.  </t>
  </si>
  <si>
    <t>*   The tax on food and food ingredients is 3.0% statewide.  This includes the state rate of 1.75%, local option rate of 1.0% and county option rate of 0.25%.</t>
  </si>
  <si>
    <t xml:space="preserve">    For sales of residential energy, the combined rate is reduced by 2.70%.</t>
  </si>
  <si>
    <t>COMMENTS:</t>
  </si>
  <si>
    <t>Tax Year</t>
  </si>
  <si>
    <t>Payment Year</t>
  </si>
  <si>
    <t>Personal Property Values</t>
  </si>
  <si>
    <t>Building Value</t>
  </si>
  <si>
    <t>Property Values Summary</t>
  </si>
  <si>
    <t>Grand Total Property Values</t>
  </si>
  <si>
    <t>Sales Tax Summary</t>
  </si>
  <si>
    <t>Estimated Gross Taxable Sales</t>
  </si>
  <si>
    <t>County Sales Tax Generation</t>
  </si>
  <si>
    <t>City Sales Tax Generation</t>
  </si>
  <si>
    <t>Sales Tax Rates (Net Rate)</t>
  </si>
  <si>
    <t>Total Tax Increment Generation:</t>
  </si>
  <si>
    <t>Total Incremental Tax Generation:</t>
  </si>
  <si>
    <t>Cumulative Taxable Value</t>
  </si>
  <si>
    <t>Energy Sales &amp; Use Tax (Natural Gas)</t>
  </si>
  <si>
    <t>Energy Sales and Use Tax (Electric)</t>
  </si>
  <si>
    <t>Note 1: Impact Fee Revenues are not included as they are calculated to offset the capital improvements related to growth which are also excluded from the Expenditures.</t>
  </si>
  <si>
    <t>Sales Tax</t>
  </si>
  <si>
    <t>Equalization Ratio (commercial vs. residential)</t>
  </si>
  <si>
    <t>Additional Assumptions</t>
  </si>
  <si>
    <t>TOTAL</t>
  </si>
  <si>
    <t>Total Sales Tax Generation (for three)</t>
  </si>
  <si>
    <t>New Sales to State</t>
  </si>
  <si>
    <t>Electricity Tax Revenue</t>
  </si>
  <si>
    <t>Natural Gas Tax Revenue</t>
  </si>
  <si>
    <r>
      <t>Usage (per Year)</t>
    </r>
    <r>
      <rPr>
        <b/>
        <vertAlign val="superscript"/>
        <sz val="10"/>
        <color indexed="9"/>
        <rFont val="Arial Narrow"/>
        <family val="2"/>
      </rPr>
      <t>2</t>
    </r>
  </si>
  <si>
    <t>Telephone Expenditures</t>
  </si>
  <si>
    <t>Res/mon</t>
  </si>
  <si>
    <t>Com/mon</t>
  </si>
  <si>
    <t>Total Tax Revenue</t>
  </si>
  <si>
    <t>New Sales to County</t>
  </si>
  <si>
    <t>New Sales to City</t>
  </si>
  <si>
    <t>Total Gross Taxable Sales</t>
  </si>
  <si>
    <t>New Gross Sales to State</t>
  </si>
  <si>
    <t>Corporate Profits</t>
  </si>
  <si>
    <t>Total Corporate Tax</t>
  </si>
  <si>
    <t>Corporate Profit Rate</t>
  </si>
  <si>
    <t>Utah Corporate Tax Rate</t>
  </si>
  <si>
    <t>Personal Adjusted Income Ratio</t>
  </si>
  <si>
    <t>Utah Personal Income Tax Rate</t>
  </si>
  <si>
    <t>New Jobs</t>
  </si>
  <si>
    <t>Average Wage</t>
  </si>
  <si>
    <t>Total Incremental Income Tax</t>
  </si>
  <si>
    <t>Incremental Income Tax Generation</t>
  </si>
  <si>
    <t>Incremental Corporate Profit Analysis</t>
  </si>
  <si>
    <t>Total Annual Salaries</t>
  </si>
  <si>
    <t>Total Incremental Tax to Schools</t>
  </si>
  <si>
    <t>Appendix A.5: Incremental Income and Corporate Tax Analysis</t>
  </si>
  <si>
    <t xml:space="preserve">Appendix A.1 - Summary </t>
  </si>
  <si>
    <t>Increment and Budget Analysis</t>
  </si>
  <si>
    <t>2010 Amounts</t>
  </si>
  <si>
    <t>Percent</t>
  </si>
  <si>
    <t>Total State Revenue to Public Ed</t>
  </si>
  <si>
    <t>Total Corporate and Income Tax Generation</t>
  </si>
  <si>
    <t>REMAINING TAX REVENUES FOR TAXING ENTITIES</t>
  </si>
  <si>
    <t>INCREMENTAL TAX ANALYSIS:</t>
  </si>
  <si>
    <t>TOTAL INCREMENTAL REVENUE IN PROJECT AREA:</t>
  </si>
  <si>
    <t>PROJECT AREA BUDGET</t>
  </si>
  <si>
    <t>Absorption Rates</t>
  </si>
  <si>
    <t xml:space="preserve">Assumptions </t>
  </si>
  <si>
    <t>City Effective Rate</t>
  </si>
  <si>
    <t>County Effective Rate</t>
  </si>
  <si>
    <t>State Effective Rate</t>
  </si>
  <si>
    <t>STATE CONTRIBUTION TO GRANITE</t>
  </si>
  <si>
    <t>Total State Revenue to Granite</t>
  </si>
  <si>
    <t>Next CBECS will be conducted in 2007 - but didn't yield valid statistical estimates.  And 2011 CBECS has been suspended due to FY 2011 funding cut.</t>
  </si>
  <si>
    <t>Taxable Salary (after Federal)</t>
  </si>
  <si>
    <t>Variable to Fixed Cost Ratio</t>
  </si>
  <si>
    <t>(look for report in shared directory)</t>
  </si>
  <si>
    <t>New Jobs (% of total)</t>
  </si>
  <si>
    <t>(Jason) How many people work per sf for each use?</t>
  </si>
  <si>
    <t>Table US1.   Total Energy Consumption, Expenditures, and Intensities, 2005 
                     Part 1: Housing Unit Characteristics and Energy Usage Indicators</t>
  </si>
  <si>
    <t>Number of  Members per Household</t>
  </si>
  <si>
    <r>
      <t xml:space="preserve">Floorspace per Household
</t>
    </r>
    <r>
      <rPr>
        <sz val="8"/>
        <rFont val="Arial"/>
        <family val="2"/>
      </rPr>
      <t>(Square Feet)</t>
    </r>
  </si>
  <si>
    <r>
      <t>Energy Consumption</t>
    </r>
    <r>
      <rPr>
        <b/>
        <vertAlign val="superscript"/>
        <sz val="10"/>
        <rFont val="Arial"/>
        <family val="2"/>
      </rPr>
      <t>2</t>
    </r>
  </si>
  <si>
    <r>
      <t>Energy Expenditures</t>
    </r>
    <r>
      <rPr>
        <b/>
        <vertAlign val="superscript"/>
        <sz val="10"/>
        <rFont val="Arial"/>
        <family val="2"/>
      </rPr>
      <t>2</t>
    </r>
  </si>
  <si>
    <t>Housing Unit Characteristics and Energy Usage Indicators</t>
  </si>
  <si>
    <r>
      <t xml:space="preserve">U.S.
Households </t>
    </r>
    <r>
      <rPr>
        <sz val="8"/>
        <rFont val="Arial"/>
        <family val="2"/>
      </rPr>
      <t>(millions)</t>
    </r>
  </si>
  <si>
    <r>
      <t>Total U.S.</t>
    </r>
    <r>
      <rPr>
        <sz val="8"/>
        <rFont val="Arial"/>
        <family val="2"/>
      </rPr>
      <t xml:space="preserve">
(quadrillion
Btu)</t>
    </r>
  </si>
  <si>
    <r>
      <t>Per
Household</t>
    </r>
    <r>
      <rPr>
        <sz val="8"/>
        <rFont val="Arial"/>
        <family val="2"/>
      </rPr>
      <t xml:space="preserve">
(million Btu)</t>
    </r>
  </si>
  <si>
    <r>
      <t>Per Household Member</t>
    </r>
    <r>
      <rPr>
        <sz val="8"/>
        <rFont val="Arial"/>
        <family val="2"/>
      </rPr>
      <t xml:space="preserve">
(million Btu)</t>
    </r>
  </si>
  <si>
    <r>
      <t>Per
Square Foot</t>
    </r>
    <r>
      <rPr>
        <sz val="8"/>
        <rFont val="Arial"/>
        <family val="2"/>
      </rPr>
      <t xml:space="preserve">
(thousand Btu)</t>
    </r>
  </si>
  <si>
    <r>
      <t>Total U.S.</t>
    </r>
    <r>
      <rPr>
        <sz val="8"/>
        <rFont val="Arial"/>
        <family val="2"/>
      </rPr>
      <t xml:space="preserve">
(billion Dollars)</t>
    </r>
  </si>
  <si>
    <r>
      <t>Per
Household</t>
    </r>
    <r>
      <rPr>
        <sz val="8"/>
        <rFont val="Arial"/>
        <family val="2"/>
      </rPr>
      <t xml:space="preserve">
(Dollars)</t>
    </r>
  </si>
  <si>
    <r>
      <t>Per Household Member</t>
    </r>
    <r>
      <rPr>
        <sz val="8"/>
        <rFont val="Arial"/>
        <family val="2"/>
      </rPr>
      <t xml:space="preserve">
(Dollars)</t>
    </r>
  </si>
  <si>
    <r>
      <t>Per
Square Foot</t>
    </r>
    <r>
      <rPr>
        <sz val="8"/>
        <rFont val="Arial"/>
        <family val="2"/>
      </rPr>
      <t xml:space="preserve">
(Dollars)</t>
    </r>
  </si>
  <si>
    <t>Type of Housing Unit and</t>
  </si>
  <si>
    <t>Number of Bedrooms</t>
  </si>
  <si>
    <t>Single-Family Homes</t>
  </si>
  <si>
    <t>Detached</t>
  </si>
  <si>
    <t>Less than 3 Bedrooms</t>
  </si>
  <si>
    <t>3 Bedrooms</t>
  </si>
  <si>
    <t>4 Bedrooms</t>
  </si>
  <si>
    <t>5 or More Bedrooms</t>
  </si>
  <si>
    <t>Attached</t>
  </si>
  <si>
    <t>4 or More Bedrooms</t>
  </si>
  <si>
    <t>Apartments in</t>
  </si>
  <si>
    <t>2 to 4 Unit Buildings</t>
  </si>
  <si>
    <t>Less than 2 Bedrooms</t>
  </si>
  <si>
    <t>2 Bedrooms</t>
  </si>
  <si>
    <t>3 or More Bedrooms</t>
  </si>
  <si>
    <t>5 or More Unit Buildings</t>
  </si>
  <si>
    <t>Apartments in 5 or more Unit Buildings</t>
  </si>
  <si>
    <t>Weekday Home Activities</t>
  </si>
  <si>
    <t>Home Used for Business</t>
  </si>
  <si>
    <t>Energy-Intensive Activity</t>
  </si>
  <si>
    <t>Someone Home All Day</t>
  </si>
  <si>
    <r>
      <t xml:space="preserve">   
</t>
    </r>
    <r>
      <rPr>
        <sz val="8"/>
        <rFont val="Arial"/>
        <family val="2"/>
      </rPr>
      <t xml:space="preserve">   1  One of five climatically distinct areas, determined according to the 30-year average (1971-2000) of the annual heating and cooling degree-days.    A household is assigned to a climate zone according to the 30-year average annual degree-days for an appropriate nearby weather station.
   2  Energy consumption and expenditures in this table excludes primary electricity and wood.
   Q = Data withheld either because the Relative Standard Error (RSE) was greater than 50 percent or fewer than 10 households were sampled.
   N = No cases in the reporting sample.
   (*) Number less than 0.5, 0.05, or 0.005 depending on the number of significant digits in the column, rounded to zero.
   Notes:  ● Because of rounding, data may not sum to totals.  ● See "Glossary" for definition of terms used in this report.
   Source:  Energy Information Administration, Office of Energy Markets and End Use, Forms EIA-457 A-G of the 2005 Residential Energy Consumption Survey.
   </t>
    </r>
    <r>
      <rPr>
        <sz val="8"/>
        <rFont val="Arial"/>
        <family val="2"/>
      </rPr>
      <t xml:space="preserve">
</t>
    </r>
  </si>
  <si>
    <t>http://www.eia.gov/consumption/residential/data/2005/index.cfm#tabs-2</t>
  </si>
  <si>
    <t>kWh/sf</t>
  </si>
  <si>
    <t>1 BTU = .000293 kWh</t>
  </si>
  <si>
    <t>Natural Gas Consumption by End Use (million Cubic Feet)</t>
  </si>
  <si>
    <t>http://www.eia.gov/dnav/ng/ng_cons_sum_dcu_SUT_a.htm</t>
  </si>
  <si>
    <t>Utah</t>
  </si>
  <si>
    <t>Cubic Feet/Household</t>
  </si>
  <si>
    <t>Convert:</t>
  </si>
  <si>
    <t>Dekatherm/household</t>
  </si>
  <si>
    <t xml:space="preserve">1 dekatherm is equal to 9.7044 hundred cubic foot of natural gas </t>
  </si>
  <si>
    <t>Number of households (Census 2010 Utah)</t>
  </si>
  <si>
    <t>Office</t>
  </si>
  <si>
    <t>Usage (per year/sf)</t>
  </si>
  <si>
    <t>Time Indexed Sales ($)/SF</t>
  </si>
  <si>
    <t>PART 1 OF 2</t>
  </si>
  <si>
    <t>Rates In effect as of October 1, 2012</t>
  </si>
  <si>
    <t>Falcon Hill Davis</t>
  </si>
  <si>
    <t>06-300</t>
  </si>
  <si>
    <t>Falcon Hill Clearfield</t>
  </si>
  <si>
    <t>06-301</t>
  </si>
  <si>
    <t>Falcon Hill Sunset</t>
  </si>
  <si>
    <t>06-302</t>
  </si>
  <si>
    <t>Santaquin South</t>
  </si>
  <si>
    <t>12-050</t>
  </si>
  <si>
    <t>Utah Data Center SL Co</t>
  </si>
  <si>
    <t>18-300</t>
  </si>
  <si>
    <t>Bluffdale South</t>
  </si>
  <si>
    <t>25-010</t>
  </si>
  <si>
    <t>Utah Data Center Utah Co</t>
  </si>
  <si>
    <t>25-300</t>
  </si>
  <si>
    <t>Falcon Hill Riverdale</t>
  </si>
  <si>
    <t>29-300</t>
  </si>
  <si>
    <t>Falcon Hill Roy</t>
  </si>
  <si>
    <t>29-301</t>
  </si>
  <si>
    <t>Changes to combined sales and use tax rates with an effective date of 10/01/2012:</t>
  </si>
  <si>
    <t>No new taxes imposed.</t>
  </si>
  <si>
    <t>The names for the Miltary Installation Development Authority locations have been changed to more accurately reflect the names of the projects (See 06-300, 06-301, 06-302, 18-300, 25-300, 29-300 and 29-301)</t>
  </si>
  <si>
    <t xml:space="preserve">Price per kWh (Commercial) </t>
  </si>
  <si>
    <r>
      <t>Price per kWh (Residential)</t>
    </r>
    <r>
      <rPr>
        <vertAlign val="superscript"/>
        <sz val="10"/>
        <rFont val="Arial Narrow"/>
        <family val="2"/>
      </rPr>
      <t xml:space="preserve"> </t>
    </r>
  </si>
  <si>
    <r>
      <t>Price per Dth (Commercial)</t>
    </r>
    <r>
      <rPr>
        <vertAlign val="superscript"/>
        <sz val="10"/>
        <rFont val="Arial Narrow"/>
        <family val="2"/>
      </rPr>
      <t xml:space="preserve"> </t>
    </r>
  </si>
  <si>
    <r>
      <t>Price per Dth (Residential)</t>
    </r>
    <r>
      <rPr>
        <vertAlign val="superscript"/>
        <sz val="10"/>
        <rFont val="Arial Narrow"/>
        <family val="2"/>
      </rPr>
      <t xml:space="preserve"> </t>
    </r>
  </si>
  <si>
    <t>Tax District</t>
  </si>
  <si>
    <t>Appendix B.1: Development Absorption Schedule and Assumptions</t>
  </si>
  <si>
    <t>Appendix D.1: Sales Tax Analysis</t>
  </si>
  <si>
    <t>Appendix E.1: City Revenues</t>
  </si>
  <si>
    <t>Appendix F.1: City Expenditures</t>
  </si>
  <si>
    <t>Estimated Budget</t>
  </si>
  <si>
    <t>Industrial</t>
  </si>
  <si>
    <t>Parks and Rec.</t>
  </si>
  <si>
    <r>
      <t>REVENUES</t>
    </r>
    <r>
      <rPr>
        <vertAlign val="superscript"/>
        <sz val="8"/>
        <rFont val="Arial Narrow"/>
        <family val="2"/>
      </rPr>
      <t>1</t>
    </r>
  </si>
  <si>
    <r>
      <t xml:space="preserve">Total Revenue </t>
    </r>
    <r>
      <rPr>
        <i/>
        <sz val="8"/>
        <rFont val="Arial Narrow"/>
        <family val="2"/>
      </rPr>
      <t>minus</t>
    </r>
    <r>
      <rPr>
        <sz val="8"/>
        <rFont val="Arial Narrow"/>
        <family val="2"/>
      </rPr>
      <t xml:space="preserve"> Expenditures</t>
    </r>
  </si>
  <si>
    <t>Existing Redwood Rd Job Ratio</t>
  </si>
  <si>
    <t>Property Tax (Increment)</t>
  </si>
  <si>
    <t>Appendix C.1: Multi-Year Tax Increment Budget (Project Area Forecast)</t>
  </si>
  <si>
    <t>Davis County Absorption Comparables</t>
  </si>
  <si>
    <t>Industrial Market</t>
  </si>
  <si>
    <t>Total Inventory</t>
  </si>
  <si>
    <t>Office Market</t>
  </si>
  <si>
    <t>Growth</t>
  </si>
  <si>
    <t>NPV @ 4.00%</t>
  </si>
  <si>
    <t>Absorption</t>
  </si>
  <si>
    <t>TOTAL BASE YEAR REVENUE IN PROJECT AREA:</t>
  </si>
  <si>
    <t>Base Year Value (Real Property)</t>
  </si>
  <si>
    <t>Retained Property Tax</t>
  </si>
  <si>
    <t>Total Base and Retained</t>
  </si>
  <si>
    <t>Base Year (Annual) Taxes</t>
  </si>
  <si>
    <t>G.1: Cost/Benefit Summary: Multi-year Budget Projections</t>
  </si>
  <si>
    <t>Parcel_ID</t>
  </si>
  <si>
    <t>Owner</t>
  </si>
  <si>
    <t>Total Real Property</t>
  </si>
  <si>
    <t>Taxable Value</t>
  </si>
  <si>
    <t>State</t>
  </si>
  <si>
    <t>County</t>
  </si>
  <si>
    <t>NPV 4%</t>
  </si>
  <si>
    <t>Land Value</t>
  </si>
  <si>
    <t>NPV @ 4%</t>
  </si>
  <si>
    <t>RDA Administration</t>
  </si>
  <si>
    <t>Commercial Tax Revenue</t>
  </si>
  <si>
    <t>Botanical, Cultural, Zoo</t>
  </si>
  <si>
    <t>Retail Sales per SF</t>
  </si>
  <si>
    <t>Retail Square Feet</t>
  </si>
  <si>
    <t>Infrastructure</t>
  </si>
  <si>
    <t>Description</t>
  </si>
  <si>
    <t>Estimated Cost</t>
  </si>
  <si>
    <t>Appendix  Infrastracture Costs</t>
  </si>
  <si>
    <t>(Source: email from Mike 3/3/15)</t>
  </si>
  <si>
    <t>Removal of Current Buildings</t>
  </si>
  <si>
    <t>Site Remediation #1</t>
  </si>
  <si>
    <t>Site Remediation #2</t>
  </si>
  <si>
    <t>Site Remediation #3</t>
  </si>
  <si>
    <t>Removal of Parking Lot Lights</t>
  </si>
  <si>
    <t>Removal of Current Parking Lot Asphalt</t>
  </si>
  <si>
    <t>Site Remediation #4</t>
  </si>
  <si>
    <t>Clear &amp; Grub</t>
  </si>
  <si>
    <t>Site Grading</t>
  </si>
  <si>
    <t>Cut to Fill/Cut to Waste</t>
  </si>
  <si>
    <t>578 LF</t>
  </si>
  <si>
    <t>North-West Retaining Walls</t>
  </si>
  <si>
    <t>South-West Retaining Walls</t>
  </si>
  <si>
    <t>395 LF</t>
  </si>
  <si>
    <t>North-East Retaining Walls</t>
  </si>
  <si>
    <t>1,444 LF</t>
  </si>
  <si>
    <t>Mid-East Retaining Walls</t>
  </si>
  <si>
    <t>212 LF</t>
  </si>
  <si>
    <t>Site Imrovement</t>
  </si>
  <si>
    <t>Mcdonald's Property</t>
  </si>
  <si>
    <t>Parking Lot Light Improvements</t>
  </si>
  <si>
    <t>21 Lights</t>
  </si>
  <si>
    <t>Perimeter Fencing</t>
  </si>
  <si>
    <t>1061 LF</t>
  </si>
  <si>
    <t>Landscaping (North Periphery Property)</t>
  </si>
  <si>
    <t>62,600 SF</t>
  </si>
  <si>
    <t>Storm Drain</t>
  </si>
  <si>
    <t>South SouthTech Underground Detention Basin</t>
  </si>
  <si>
    <t>Central SouthTech Underground Detention Basin</t>
  </si>
  <si>
    <t>North SouthTech Underground Detention Basin</t>
  </si>
  <si>
    <t>Main East-West Storm Drain Line</t>
  </si>
  <si>
    <t>Roadway Project</t>
  </si>
  <si>
    <t>2600 South Deceleration Pocket</t>
  </si>
  <si>
    <t>2600 South Merge Pocket</t>
  </si>
  <si>
    <t>Plaza Project</t>
  </si>
  <si>
    <t>South-West Public Plaza and Monumentation</t>
  </si>
  <si>
    <t>Property Tax Increment for Budget:</t>
  </si>
  <si>
    <t>Uses of Property Tax Funds:</t>
  </si>
  <si>
    <t>Expenditure / Assessed Value</t>
  </si>
  <si>
    <t>Fixed vs. Variable Ratio</t>
  </si>
  <si>
    <t>Adjusted Expenditure / Assessed Value</t>
  </si>
  <si>
    <t>Analysis Window</t>
  </si>
  <si>
    <t xml:space="preserve">     Total Assessed Value:</t>
  </si>
  <si>
    <t>Value of Current Property</t>
  </si>
  <si>
    <t>Less Base Year Value</t>
  </si>
  <si>
    <t>Infrastructure Project</t>
  </si>
  <si>
    <t>Cost</t>
  </si>
  <si>
    <t xml:space="preserve">Taxable </t>
  </si>
  <si>
    <t>Zip</t>
  </si>
  <si>
    <t>Land Type</t>
  </si>
  <si>
    <t>Address 1</t>
  </si>
  <si>
    <t>Address 2</t>
  </si>
  <si>
    <t>C/O</t>
  </si>
  <si>
    <t>Mass Transit</t>
  </si>
  <si>
    <t>Additional Mass Trans</t>
  </si>
  <si>
    <t>Transportation Infrast.</t>
  </si>
  <si>
    <t>Public Works</t>
  </si>
  <si>
    <t>Total Cost of Development Activities</t>
  </si>
  <si>
    <t>H.1: General Government Expenditures</t>
  </si>
  <si>
    <t>Redevelopment Activities (Infrastructure, Relocation, Incentives, etc.)</t>
  </si>
  <si>
    <t>CRA Housing Requirement</t>
  </si>
  <si>
    <t>Base Year Tax Revenue Retained by Taxing Entities</t>
  </si>
  <si>
    <t>New Growth Portion to Taxing Entities</t>
  </si>
  <si>
    <t xml:space="preserve">Cost per $ Assessed (2018) </t>
  </si>
  <si>
    <r>
      <t xml:space="preserve">Assessed Value (2018) </t>
    </r>
    <r>
      <rPr>
        <vertAlign val="superscript"/>
        <sz val="10"/>
        <rFont val="Arial Narrow"/>
        <family val="2"/>
      </rPr>
      <t>1</t>
    </r>
  </si>
  <si>
    <r>
      <t xml:space="preserve">Public Safety Expenditures (2017) </t>
    </r>
    <r>
      <rPr>
        <vertAlign val="superscript"/>
        <sz val="10"/>
        <rFont val="Arial Narrow"/>
        <family val="2"/>
      </rPr>
      <t>2</t>
    </r>
  </si>
  <si>
    <r>
      <t xml:space="preserve">Public Works Expenditures (2017) </t>
    </r>
    <r>
      <rPr>
        <vertAlign val="superscript"/>
        <sz val="10"/>
        <rFont val="Arial Narrow"/>
        <family val="2"/>
      </rPr>
      <t>2</t>
    </r>
  </si>
  <si>
    <t>Note 1: Source, Utah State Tax Commission , 2017 List of Final Values, Total Real Property, Personal Property, Centrally Assessed w/out Motor Vehicle (http://propertytax.utah.gov/reports-and-statistics/entity-year-end-value-reports.html)</t>
  </si>
  <si>
    <t>Total General Expenditures Budget (2017)</t>
  </si>
  <si>
    <t>General Government Expenditure</t>
  </si>
  <si>
    <t>Public Safety Expenditure</t>
  </si>
  <si>
    <t>Public Works Expenditure</t>
  </si>
  <si>
    <t>Electric Tax Revenue</t>
  </si>
  <si>
    <t>Taxable Property Schedule (2018)</t>
  </si>
  <si>
    <t>16283130140000</t>
  </si>
  <si>
    <t>16294510100000</t>
  </si>
  <si>
    <t>16283030100000</t>
  </si>
  <si>
    <t>16292810020000</t>
  </si>
  <si>
    <t>16283120020000</t>
  </si>
  <si>
    <t>16293780030000</t>
  </si>
  <si>
    <t>16283030040000</t>
  </si>
  <si>
    <t>16283120260000</t>
  </si>
  <si>
    <t>16294040080000</t>
  </si>
  <si>
    <t>16294310060000</t>
  </si>
  <si>
    <t>16283120030000</t>
  </si>
  <si>
    <t>16283510250000</t>
  </si>
  <si>
    <t>16283120220000</t>
  </si>
  <si>
    <t>16283010120000</t>
  </si>
  <si>
    <t>16293300770000</t>
  </si>
  <si>
    <t>16283130120000</t>
  </si>
  <si>
    <t>16294770040000</t>
  </si>
  <si>
    <t>16294040150000</t>
  </si>
  <si>
    <t>16283080020000</t>
  </si>
  <si>
    <t>16294310040000</t>
  </si>
  <si>
    <t>16283090030000</t>
  </si>
  <si>
    <t>16283120270000</t>
  </si>
  <si>
    <t>16283120360000</t>
  </si>
  <si>
    <t>16294760190000</t>
  </si>
  <si>
    <t>16283120110000</t>
  </si>
  <si>
    <t>16293300470000</t>
  </si>
  <si>
    <t>16294760670000</t>
  </si>
  <si>
    <t>16294760620000</t>
  </si>
  <si>
    <t>16294760260000</t>
  </si>
  <si>
    <t>16292800110000</t>
  </si>
  <si>
    <t>16294040430000</t>
  </si>
  <si>
    <t>16283040200000</t>
  </si>
  <si>
    <t>16283530010000</t>
  </si>
  <si>
    <t>16294040200000</t>
  </si>
  <si>
    <t>16294760240000</t>
  </si>
  <si>
    <t>16294040190000</t>
  </si>
  <si>
    <t>16294510070000</t>
  </si>
  <si>
    <t>16283130180000</t>
  </si>
  <si>
    <t>16283130150000</t>
  </si>
  <si>
    <t>16283130010000</t>
  </si>
  <si>
    <t>16283120120000</t>
  </si>
  <si>
    <t>16293290520000</t>
  </si>
  <si>
    <t>16292800120000</t>
  </si>
  <si>
    <t>16293780210000</t>
  </si>
  <si>
    <t>16294760280000</t>
  </si>
  <si>
    <t>16283040190000</t>
  </si>
  <si>
    <t>16292810010000</t>
  </si>
  <si>
    <t>16293780260000</t>
  </si>
  <si>
    <t>16283510540000</t>
  </si>
  <si>
    <t>16283760220000</t>
  </si>
  <si>
    <t>16294270210000</t>
  </si>
  <si>
    <t>16293290540000</t>
  </si>
  <si>
    <t>16294510040000</t>
  </si>
  <si>
    <t>16283030130000</t>
  </si>
  <si>
    <t>16283120150000</t>
  </si>
  <si>
    <t>16283120190000</t>
  </si>
  <si>
    <t>16283130020000</t>
  </si>
  <si>
    <t>16292800220000</t>
  </si>
  <si>
    <t>16294040270000</t>
  </si>
  <si>
    <t>16283040180000</t>
  </si>
  <si>
    <t>16294270190000</t>
  </si>
  <si>
    <t>16294280170000</t>
  </si>
  <si>
    <t>16283510080000</t>
  </si>
  <si>
    <t>16283080300000</t>
  </si>
  <si>
    <t>16292810240000</t>
  </si>
  <si>
    <t>16283540010000</t>
  </si>
  <si>
    <t>16283510070000</t>
  </si>
  <si>
    <t>16283130090000</t>
  </si>
  <si>
    <t>16293300490000</t>
  </si>
  <si>
    <t>16294510110000</t>
  </si>
  <si>
    <t>16283130190000</t>
  </si>
  <si>
    <t>16283130200000</t>
  </si>
  <si>
    <t>16292810210000</t>
  </si>
  <si>
    <t>16283030060000</t>
  </si>
  <si>
    <t>16294040290000</t>
  </si>
  <si>
    <t>16294760300000</t>
  </si>
  <si>
    <t>16293780130000</t>
  </si>
  <si>
    <t>16283530080000</t>
  </si>
  <si>
    <t>16283120310000</t>
  </si>
  <si>
    <t>16293300480000</t>
  </si>
  <si>
    <t>16283530200000</t>
  </si>
  <si>
    <t>16293290680000</t>
  </si>
  <si>
    <t>16283040060000</t>
  </si>
  <si>
    <t>16283120250000</t>
  </si>
  <si>
    <t>16283530030000</t>
  </si>
  <si>
    <t>16283090020000</t>
  </si>
  <si>
    <t>16294510090000</t>
  </si>
  <si>
    <t>16283080010000</t>
  </si>
  <si>
    <t>16283120130000</t>
  </si>
  <si>
    <t>16283120160000</t>
  </si>
  <si>
    <t>16283120040000</t>
  </si>
  <si>
    <t>16283040150000</t>
  </si>
  <si>
    <t>16294760270000</t>
  </si>
  <si>
    <t>16283120010000</t>
  </si>
  <si>
    <t>16294260030000</t>
  </si>
  <si>
    <t>16283120140000</t>
  </si>
  <si>
    <t>16283130130000</t>
  </si>
  <si>
    <t>16283090090000</t>
  </si>
  <si>
    <t>16283120330000</t>
  </si>
  <si>
    <t>16283510520000</t>
  </si>
  <si>
    <t>16294760680000</t>
  </si>
  <si>
    <t>16283120290000</t>
  </si>
  <si>
    <t>16283130070000</t>
  </si>
  <si>
    <t>16294050010000</t>
  </si>
  <si>
    <t>16283130060000</t>
  </si>
  <si>
    <t>16294050030000</t>
  </si>
  <si>
    <t>16292810140000</t>
  </si>
  <si>
    <t>16292810220000</t>
  </si>
  <si>
    <t>16293780220000</t>
  </si>
  <si>
    <t>16283510470000</t>
  </si>
  <si>
    <t>16294770050000</t>
  </si>
  <si>
    <t>16283120300000</t>
  </si>
  <si>
    <t>16283540030000</t>
  </si>
  <si>
    <t>16294300070000</t>
  </si>
  <si>
    <t>16283130160000</t>
  </si>
  <si>
    <t>16283030140000</t>
  </si>
  <si>
    <t>16292810030000</t>
  </si>
  <si>
    <t>16283530020000</t>
  </si>
  <si>
    <t>16294280150000</t>
  </si>
  <si>
    <t>16281600020000</t>
  </si>
  <si>
    <t>16283510530000</t>
  </si>
  <si>
    <t>16294050040000</t>
  </si>
  <si>
    <t>16294770100000</t>
  </si>
  <si>
    <t>16294310070000</t>
  </si>
  <si>
    <t>16283030030000</t>
  </si>
  <si>
    <t>16283120350000</t>
  </si>
  <si>
    <t>16294040300000</t>
  </si>
  <si>
    <t>16283120240000</t>
  </si>
  <si>
    <t>16283010110000</t>
  </si>
  <si>
    <t>16292800230000</t>
  </si>
  <si>
    <t>16283040050000</t>
  </si>
  <si>
    <t>16283040170000</t>
  </si>
  <si>
    <t>16283030050000</t>
  </si>
  <si>
    <t>16294770120000</t>
  </si>
  <si>
    <t>16294770140000</t>
  </si>
  <si>
    <t>16294550430000</t>
  </si>
  <si>
    <t>16294510130000</t>
  </si>
  <si>
    <t>16293290180000</t>
  </si>
  <si>
    <t>16294280110000</t>
  </si>
  <si>
    <t>16292810180000</t>
  </si>
  <si>
    <t>16283090240000</t>
  </si>
  <si>
    <t>16292810250000</t>
  </si>
  <si>
    <t>16294040470000</t>
  </si>
  <si>
    <t>16294510010000</t>
  </si>
  <si>
    <t>16283510480000</t>
  </si>
  <si>
    <t>16294760220000</t>
  </si>
  <si>
    <t>16294510030000</t>
  </si>
  <si>
    <t>16283510090000</t>
  </si>
  <si>
    <t>16283040090000</t>
  </si>
  <si>
    <t>16283120340000</t>
  </si>
  <si>
    <t>16294550440000</t>
  </si>
  <si>
    <t>16281600030000</t>
  </si>
  <si>
    <t>16294300090000</t>
  </si>
  <si>
    <t>16283130080000</t>
  </si>
  <si>
    <t>16283120070000</t>
  </si>
  <si>
    <t>16294040220000</t>
  </si>
  <si>
    <t>16283760080000</t>
  </si>
  <si>
    <t>16294300120000</t>
  </si>
  <si>
    <t>16283130230000</t>
  </si>
  <si>
    <t>16293290370000</t>
  </si>
  <si>
    <t>16294050020000</t>
  </si>
  <si>
    <t>16294040460000</t>
  </si>
  <si>
    <t>16283010090000</t>
  </si>
  <si>
    <t>16294310030000</t>
  </si>
  <si>
    <t>16283030120000</t>
  </si>
  <si>
    <t>16283120210000</t>
  </si>
  <si>
    <t>16293290530000</t>
  </si>
  <si>
    <t>16283030090000</t>
  </si>
  <si>
    <t>16293290360000</t>
  </si>
  <si>
    <t>16283510490000</t>
  </si>
  <si>
    <t>16294760290000</t>
  </si>
  <si>
    <t>16281560010000</t>
  </si>
  <si>
    <t>16292810120000</t>
  </si>
  <si>
    <t>16283120090000</t>
  </si>
  <si>
    <t>16294510120000</t>
  </si>
  <si>
    <t>16292810230000</t>
  </si>
  <si>
    <t>16283120060000</t>
  </si>
  <si>
    <t>16283130030000</t>
  </si>
  <si>
    <t>16283030110000</t>
  </si>
  <si>
    <t>16283510260000</t>
  </si>
  <si>
    <t>16283130050000</t>
  </si>
  <si>
    <t>16294510300000</t>
  </si>
  <si>
    <t>16294510080000</t>
  </si>
  <si>
    <t>16293780020000</t>
  </si>
  <si>
    <t>16294040340000</t>
  </si>
  <si>
    <t>16283120280000</t>
  </si>
  <si>
    <t>16283120170000</t>
  </si>
  <si>
    <t>16294760200000</t>
  </si>
  <si>
    <t>16283040160000</t>
  </si>
  <si>
    <t>16294770130000</t>
  </si>
  <si>
    <t>16294300110000</t>
  </si>
  <si>
    <t>16293290350000</t>
  </si>
  <si>
    <t>16292810190000</t>
  </si>
  <si>
    <t>16294760600000</t>
  </si>
  <si>
    <t>16294040280000</t>
  </si>
  <si>
    <t>16292810130000</t>
  </si>
  <si>
    <t>16294760610000</t>
  </si>
  <si>
    <t>16294040210000</t>
  </si>
  <si>
    <t>16294510470000</t>
  </si>
  <si>
    <t>16283030070000</t>
  </si>
  <si>
    <t>16283130170000</t>
  </si>
  <si>
    <t>16283120230000</t>
  </si>
  <si>
    <t>16294270200000</t>
  </si>
  <si>
    <t>16283030080000</t>
  </si>
  <si>
    <t>16283090080000</t>
  </si>
  <si>
    <t>16294280160000</t>
  </si>
  <si>
    <t>16283120050000</t>
  </si>
  <si>
    <t>16294510020000</t>
  </si>
  <si>
    <t>16292810110000</t>
  </si>
  <si>
    <t>16283540020000</t>
  </si>
  <si>
    <t>16293300590000</t>
  </si>
  <si>
    <t>16283040010000</t>
  </si>
  <si>
    <t>16294760310000</t>
  </si>
  <si>
    <t>16294300080000</t>
  </si>
  <si>
    <t>16292810150000</t>
  </si>
  <si>
    <t>16293780040000</t>
  </si>
  <si>
    <t>16293300760000</t>
  </si>
  <si>
    <t>16283120320000</t>
  </si>
  <si>
    <t>16283120370000</t>
  </si>
  <si>
    <t>16283120200000</t>
  </si>
  <si>
    <t>16283120080000</t>
  </si>
  <si>
    <t>16293780110000</t>
  </si>
  <si>
    <t>16283130040000</t>
  </si>
  <si>
    <t>16283120180000</t>
  </si>
  <si>
    <t>16283090010000</t>
  </si>
  <si>
    <t>16283120100000</t>
  </si>
  <si>
    <t>16293780120000</t>
  </si>
  <si>
    <t>16283510180000</t>
  </si>
  <si>
    <t>BEYERS, CHARLES H</t>
  </si>
  <si>
    <t>BRICKCREEK LLC</t>
  </si>
  <si>
    <t>SPENCER, STEVE</t>
  </si>
  <si>
    <t>KATSANEVAS, MICHAEL J; TR</t>
  </si>
  <si>
    <t>ASPEN VIEW ASSOCIATES</t>
  </si>
  <si>
    <t>TDH LC</t>
  </si>
  <si>
    <t>BEEBE, JAMES</t>
  </si>
  <si>
    <t>3333 OFFICE BUILDING LLC</t>
  </si>
  <si>
    <t>DURTSCHI, ERNEST F. &amp;</t>
  </si>
  <si>
    <t>CLARK FAMILY PROPERTIES LLC</t>
  </si>
  <si>
    <t>GRO INVESTMENTS LLC</t>
  </si>
  <si>
    <t>GEO INVESTMENTS LLC &amp; BLACK</t>
  </si>
  <si>
    <t>DENEAU, SARA</t>
  </si>
  <si>
    <t>SLATER, ROBERT A &amp; LINDA S;</t>
  </si>
  <si>
    <t>EPPERSON, ANDREW</t>
  </si>
  <si>
    <t>GLAUS EUROPEAN BAKERY REAL</t>
  </si>
  <si>
    <t>WONG, SAMMY K; TR ET AL</t>
  </si>
  <si>
    <t>OSPREY NEST HOLDINGS LLC</t>
  </si>
  <si>
    <t>BBH COMPANY LC</t>
  </si>
  <si>
    <t>PETERSEN INVESTMENT COMPANY</t>
  </si>
  <si>
    <t>KETTLEY, SHERELYN N; TC ET AL</t>
  </si>
  <si>
    <t>FERREAL ESTATE LLC A</t>
  </si>
  <si>
    <t>WARNER, LYLE D; TR</t>
  </si>
  <si>
    <t>MCALLISTER, BRENT P &amp;</t>
  </si>
  <si>
    <t>O DAY, DAVID K; JT</t>
  </si>
  <si>
    <t>THIRTEENTH 3300 ASSOCIATES,</t>
  </si>
  <si>
    <t>STEEL, BRET</t>
  </si>
  <si>
    <t>WONG, SAMMY K; TRS</t>
  </si>
  <si>
    <t>EASTSIDE SELF STORAGE LLC</t>
  </si>
  <si>
    <t>FELT, GARY M</t>
  </si>
  <si>
    <t>THIRTEEN 3300 ASSOCIATES</t>
  </si>
  <si>
    <t>MCDONALD, IAN D</t>
  </si>
  <si>
    <t>CUBES BRICKYARD LLC</t>
  </si>
  <si>
    <t>EBS INVESTMENT CO LLC</t>
  </si>
  <si>
    <t>BAILEY, MICHAEL B ET AL</t>
  </si>
  <si>
    <t>NICHOLS, SPIRO &amp; MARIA; JT</t>
  </si>
  <si>
    <t>BROOKS, RUSSELL T; TR</t>
  </si>
  <si>
    <t>HOP LLC</t>
  </si>
  <si>
    <t>KUNKLE, ALLYSON</t>
  </si>
  <si>
    <t>SIMMONS, RALPH M; TR</t>
  </si>
  <si>
    <t>GRANT PROPERTIES I LLC</t>
  </si>
  <si>
    <t>SARAH #1, LLC</t>
  </si>
  <si>
    <t>SHUPE INVESTMENTS LTD</t>
  </si>
  <si>
    <t>KAPOS, JOHN P &amp;</t>
  </si>
  <si>
    <t>HOME DEPOT USA INC</t>
  </si>
  <si>
    <t>BHF ENTERPRISES LLC</t>
  </si>
  <si>
    <t>NELSON ENTERPRISES LLC</t>
  </si>
  <si>
    <t>EK STUDIOS LLC</t>
  </si>
  <si>
    <t>GOLDBERG, SARAH K; TR</t>
  </si>
  <si>
    <t>DAVIS, BRADLEY R &amp;</t>
  </si>
  <si>
    <t>KIME, SHAYLA A</t>
  </si>
  <si>
    <t>WHETMAN, PRESLEY P</t>
  </si>
  <si>
    <t>ABANA APTS</t>
  </si>
  <si>
    <t>PRISKOS, VASILIOS C</t>
  </si>
  <si>
    <t>OAI ENTERPRISES LLC</t>
  </si>
  <si>
    <t>VILLA INVESTMENTS GROUP LLC</t>
  </si>
  <si>
    <t>NORTHRUP, DANIAL D &amp;</t>
  </si>
  <si>
    <t>THOMAS BUILDING PARTNERSHIP</t>
  </si>
  <si>
    <t>TLC ENTERPRISES, LLC</t>
  </si>
  <si>
    <t>M3B HOLDINGS LLC</t>
  </si>
  <si>
    <t>HOLLAND, RUTH</t>
  </si>
  <si>
    <t>HAYES, G JERRY; TR</t>
  </si>
  <si>
    <t>VALLEY BANK BUILDING CORP</t>
  </si>
  <si>
    <t>KATSANEVAS, JOSEPHINE M; TR</t>
  </si>
  <si>
    <t>WEBSTER, JAMES B &amp;</t>
  </si>
  <si>
    <t>RIDGELINE SALT LAKE LLC</t>
  </si>
  <si>
    <t>GMAT VENTURES LLC</t>
  </si>
  <si>
    <t>MCDONALD, MICHAEL C</t>
  </si>
  <si>
    <t>CALFA REAL ESTATE LLC</t>
  </si>
  <si>
    <t>AUTOMOTIVE PROPERTIES</t>
  </si>
  <si>
    <t>MILLCREEK 9 LLC</t>
  </si>
  <si>
    <t>ATK LLC</t>
  </si>
  <si>
    <t>FARMER, ROBERT M</t>
  </si>
  <si>
    <t>CORP OF PB OF CH JC OF LDS</t>
  </si>
  <si>
    <t>BURBANK, JENNY</t>
  </si>
  <si>
    <t>JRJ, LC</t>
  </si>
  <si>
    <t>PICKLE, MICHAEL</t>
  </si>
  <si>
    <t>SOSA, MARISSA &amp;</t>
  </si>
  <si>
    <t>HOWELL, ALEXANDRA C &amp;</t>
  </si>
  <si>
    <t>FINE ARTS INN</t>
  </si>
  <si>
    <t>GASPAR, JOHN T</t>
  </si>
  <si>
    <t>SALT LAKE COUNTY</t>
  </si>
  <si>
    <t>JOHNSTON, JEFFREY</t>
  </si>
  <si>
    <t>DANIELS, JEANETTE K B; TR</t>
  </si>
  <si>
    <t>THE PM GROUP, LLC</t>
  </si>
  <si>
    <t>BOW VALLEY INVESTMENTS LLC</t>
  </si>
  <si>
    <t>RITTA LLC</t>
  </si>
  <si>
    <t>CHOW, SIGMUND;</t>
  </si>
  <si>
    <t>VETERINARY SPECIALIST</t>
  </si>
  <si>
    <t>RA LLC</t>
  </si>
  <si>
    <t>C C &amp; L ENTERPRISES LLC</t>
  </si>
  <si>
    <t>GOODMAN, MARK W</t>
  </si>
  <si>
    <t>970 E 3300 SOUTH, LLC; ET AL</t>
  </si>
  <si>
    <t>JOSHUA TREE APARTMENTS LLC</t>
  </si>
  <si>
    <t>CASALE, LILIANA</t>
  </si>
  <si>
    <t>GATES, DANIEL M &amp;</t>
  </si>
  <si>
    <t>3205 MILLCREEK, LLC</t>
  </si>
  <si>
    <t>APOSHIAN ENTERPRISES</t>
  </si>
  <si>
    <t>CHUN, CASSY K &amp;</t>
  </si>
  <si>
    <t>NEELEY, STEPHEN E;</t>
  </si>
  <si>
    <t>WONG, SAMMY K &amp;</t>
  </si>
  <si>
    <t>1025 CONDOMINIUMS</t>
  </si>
  <si>
    <t>MOGER, JOSIP</t>
  </si>
  <si>
    <t>MAJESTIC INVESTMENT COMPANY</t>
  </si>
  <si>
    <t>SPENDLOVE, ROBERT M &amp;</t>
  </si>
  <si>
    <t>TOMPKINSON, DEREK</t>
  </si>
  <si>
    <t>NEIMAN, MICAH</t>
  </si>
  <si>
    <t>MALOUF, FRANCIS B; TR</t>
  </si>
  <si>
    <t>STEPHENSON, L; TR</t>
  </si>
  <si>
    <t>PLOWGIAN, JEFFREY F &amp;</t>
  </si>
  <si>
    <t>KATSANEVAS, MICHAEL J</t>
  </si>
  <si>
    <t>ATHABASCA LAND COMPANY LLC</t>
  </si>
  <si>
    <t>B &amp; G STRIP  MALL LLC</t>
  </si>
  <si>
    <t>SLATER, ROBERT A &amp;</t>
  </si>
  <si>
    <t>CLARK, MARTY; JT</t>
  </si>
  <si>
    <t>SOUTHLAND CORPORATION, THE</t>
  </si>
  <si>
    <t>GOLESH, CHRISTINE LEE</t>
  </si>
  <si>
    <t>SKYLINE FLOWER PROPERTIES,</t>
  </si>
  <si>
    <t>ATKINSON ENTERPRISES LC</t>
  </si>
  <si>
    <t>SUGARHOUSE SELF STORAGE, LC</t>
  </si>
  <si>
    <t>MILES PROPERTIES LLC</t>
  </si>
  <si>
    <t>WASATCH GAS CO.</t>
  </si>
  <si>
    <t>DELONG, JAMIE F</t>
  </si>
  <si>
    <t>DAVID PEDRAZAS PLLC</t>
  </si>
  <si>
    <t>BAKER, KAREN</t>
  </si>
  <si>
    <t>CRAIG, ROBERT M &amp;</t>
  </si>
  <si>
    <t>SEMNANI FAMILY FOUNDATION</t>
  </si>
  <si>
    <t>BRICKYARD APARTMENTS LLC</t>
  </si>
  <si>
    <t>BENCH PROPERTIES, LLC</t>
  </si>
  <si>
    <t>KNAPTON, DON E &amp;</t>
  </si>
  <si>
    <t>ROBERTS, VIVIAN &amp;</t>
  </si>
  <si>
    <t>KOSMAS, MARY</t>
  </si>
  <si>
    <t>BOWMAN, JACK H., TR.</t>
  </si>
  <si>
    <t>BAGLEY, KAREY A</t>
  </si>
  <si>
    <t>CHERONNE ANDERSON PROPERTIES</t>
  </si>
  <si>
    <t>WITTE, DEBORAH A</t>
  </si>
  <si>
    <t>BROWN, JEREMY J &amp;</t>
  </si>
  <si>
    <t>H D P ENTERPRISES LLC</t>
  </si>
  <si>
    <t>BRICKYARD SELF STORAGE, LC</t>
  </si>
  <si>
    <t>COE, DEBRA</t>
  </si>
  <si>
    <t>SZYKULA, STEVEN A</t>
  </si>
  <si>
    <t>AGAVE ENTERPRISES LLC</t>
  </si>
  <si>
    <t>M &amp; R JAHRIES REAL ESTATE LLC</t>
  </si>
  <si>
    <t>CAL-TEX PROPERTIES</t>
  </si>
  <si>
    <t>FIDONE, KRIS W</t>
  </si>
  <si>
    <t>1208 EAST LLC</t>
  </si>
  <si>
    <t>KRIZANOVIC, MARIO</t>
  </si>
  <si>
    <t>DIAMONDBERG INVESTMENTS LLC</t>
  </si>
  <si>
    <t>WILSON, TAYLOR &amp;E</t>
  </si>
  <si>
    <t>SCHATZ COMMERCIAL HOLDINGS</t>
  </si>
  <si>
    <t>ATLAS VENTURES</t>
  </si>
  <si>
    <t>KASSEL, KATHLEEN</t>
  </si>
  <si>
    <t>WHITEAR, KODY</t>
  </si>
  <si>
    <t>TFTC 3369 LLC</t>
  </si>
  <si>
    <t>SIL INC</t>
  </si>
  <si>
    <t>SUMMIT HOME SOLUTIONS LC</t>
  </si>
  <si>
    <t>ROBINSON PROJECT MANAGEMENT</t>
  </si>
  <si>
    <t>ALVERA OFFICES, INC</t>
  </si>
  <si>
    <t>BRICKYARD VILLAGE</t>
  </si>
  <si>
    <t>SIMON, CORBETT W</t>
  </si>
  <si>
    <t>KITT, DOUGLAS Q</t>
  </si>
  <si>
    <t>WOLFE, MATTHEW E JT</t>
  </si>
  <si>
    <t>ACP</t>
  </si>
  <si>
    <t>SFR</t>
  </si>
  <si>
    <t>Condo</t>
  </si>
  <si>
    <t>3300 S. 1100 E. Condos</t>
  </si>
  <si>
    <t>Highland Dr Office/Condo</t>
  </si>
  <si>
    <t>Block</t>
  </si>
  <si>
    <t>Land</t>
  </si>
  <si>
    <t>Parking Lot</t>
  </si>
  <si>
    <t xml:space="preserve">Aspen View </t>
  </si>
  <si>
    <t>Low Income Res</t>
  </si>
  <si>
    <t>MFR</t>
  </si>
  <si>
    <t>Land East of 3300 S. Condo</t>
  </si>
  <si>
    <t>Assoc Res</t>
  </si>
  <si>
    <t>City Hall Strip Mall Southeast Portion of South Building</t>
  </si>
  <si>
    <t>City Hall Strip Mall City Hall Portion</t>
  </si>
  <si>
    <t>City Hall Strip Mall West Parking Lot</t>
  </si>
  <si>
    <t xml:space="preserve">City Hall Strip Mall Southeast Parking </t>
  </si>
  <si>
    <t>City Hall Strip Mall Center Parking</t>
  </si>
  <si>
    <t>City Hall Strip Malll northeast parking</t>
  </si>
  <si>
    <t>City Hall Strip Mall West Buildings</t>
  </si>
  <si>
    <t>Check City</t>
  </si>
  <si>
    <t>Self Storage</t>
  </si>
  <si>
    <t>Felt Lighting</t>
  </si>
  <si>
    <t>Commercial PL</t>
  </si>
  <si>
    <t>Felt Lighting Parking</t>
  </si>
  <si>
    <t>Office next to Felt</t>
  </si>
  <si>
    <t>Vacant</t>
  </si>
  <si>
    <t>Vacant Lot behind City Hall Mall</t>
  </si>
  <si>
    <t>Strip by Liquid Joes</t>
  </si>
  <si>
    <t>Strip by 3300 S. Condo</t>
  </si>
  <si>
    <t>Office Lot behind B&amp;G</t>
  </si>
  <si>
    <t>Brickyard Village Condos</t>
  </si>
  <si>
    <t>Commercial west of Brickyard Condo</t>
  </si>
  <si>
    <t>Commercial (Super Cuts)</t>
  </si>
  <si>
    <t>Storage Building east Brickyard Condos</t>
  </si>
  <si>
    <t>At Home Furniture</t>
  </si>
  <si>
    <t>Lot between At Home &amp; Crown</t>
  </si>
  <si>
    <t>Crown Burger</t>
  </si>
  <si>
    <t>Crown Parking</t>
  </si>
  <si>
    <t>Vacant Comm</t>
  </si>
  <si>
    <t>Little Park Strip west of lot between Home and Crown</t>
  </si>
  <si>
    <t>CPA Tax</t>
  </si>
  <si>
    <t>Paletti</t>
  </si>
  <si>
    <t>Office Behind Paletti</t>
  </si>
  <si>
    <t>SLC Strength Crossfit</t>
  </si>
  <si>
    <t>Fine Arts Inn</t>
  </si>
  <si>
    <t>Tres Hombres</t>
  </si>
  <si>
    <t>Exempt</t>
  </si>
  <si>
    <t>Small Lot Behind Crossfit</t>
  </si>
  <si>
    <t>Plowgian Auto Repair</t>
  </si>
  <si>
    <t>Long Life House</t>
  </si>
  <si>
    <t>White Building connected to Joanne's</t>
  </si>
  <si>
    <t>Building and Lot by Joanne's</t>
  </si>
  <si>
    <t>Joanne's</t>
  </si>
  <si>
    <t>Joanne's Parking</t>
  </si>
  <si>
    <t>House next to Joanne's Parking</t>
  </si>
  <si>
    <t>Red Multi-Family</t>
  </si>
  <si>
    <t>SFR next to white office building</t>
  </si>
  <si>
    <t>Res lot by Crown</t>
  </si>
  <si>
    <t>Apartment</t>
  </si>
  <si>
    <t>Millcreek 9 Apartment</t>
  </si>
  <si>
    <t>Greenhouse Effect</t>
  </si>
  <si>
    <t>EK Studios</t>
  </si>
  <si>
    <t>Lot Behind United Optical</t>
  </si>
  <si>
    <t>Assoc Ind</t>
  </si>
  <si>
    <t>United Optical</t>
  </si>
  <si>
    <t>Maliheh</t>
  </si>
  <si>
    <t>Tax Exempt</t>
  </si>
  <si>
    <t>Lot off of Lincoln</t>
  </si>
  <si>
    <t>Strip Retail next to Lot</t>
  </si>
  <si>
    <t>Next to Strip Retail</t>
  </si>
  <si>
    <t>Universal Systems</t>
  </si>
  <si>
    <t>Cash Loans</t>
  </si>
  <si>
    <t>Next to 1000 E.</t>
  </si>
  <si>
    <t>Red Brick Building by Kohl's</t>
  </si>
  <si>
    <t>Brickyard Apartments</t>
  </si>
  <si>
    <t>Brickyard Plaza Storage</t>
  </si>
  <si>
    <t>Assoc Comm</t>
  </si>
  <si>
    <t>Vacant Land next to Brickyard Storage</t>
  </si>
  <si>
    <t>Rental Shop</t>
  </si>
  <si>
    <t>House on corner behind chainlink fence</t>
  </si>
  <si>
    <t>Next to corner house</t>
  </si>
  <si>
    <t>Creative Wigs</t>
  </si>
  <si>
    <t>1063 Office</t>
  </si>
  <si>
    <t>Part of Wig Store</t>
  </si>
  <si>
    <t>Cube Storage</t>
  </si>
  <si>
    <t>Vet Parking Lot</t>
  </si>
  <si>
    <t>Vet</t>
  </si>
  <si>
    <t>England Plumbing</t>
  </si>
  <si>
    <t>Road by U Credit Union</t>
  </si>
  <si>
    <t>3342 S. 1100 E.</t>
  </si>
  <si>
    <t>3336 S. 1100 E.</t>
  </si>
  <si>
    <t>3324 S. 1100 E.</t>
  </si>
  <si>
    <t>1090 E. 3300 S.</t>
  </si>
  <si>
    <t>1078 E. 3300 S.</t>
  </si>
  <si>
    <t>Brickyard Self Storage</t>
  </si>
  <si>
    <t>Diamondpoint Apartments</t>
  </si>
  <si>
    <t>Multi-Family east of diamondpoint</t>
  </si>
  <si>
    <t>1020 E. 3300 S.</t>
  </si>
  <si>
    <t>Glass Office Building</t>
  </si>
  <si>
    <t>Flower (Greenhouse)</t>
  </si>
  <si>
    <t>Assoc Office</t>
  </si>
  <si>
    <t>Parking Lot by glass office</t>
  </si>
  <si>
    <t>Harlow Brides</t>
  </si>
  <si>
    <t>970 Plaza</t>
  </si>
  <si>
    <t>Senior Living</t>
  </si>
  <si>
    <t>Crow Ellis</t>
  </si>
  <si>
    <t>Universal Swell</t>
  </si>
  <si>
    <t>Salazar Restaurant</t>
  </si>
  <si>
    <t>Pest Pro</t>
  </si>
  <si>
    <t>Natty Dogs</t>
  </si>
  <si>
    <t>Office east of Natty Dogs</t>
  </si>
  <si>
    <t>Land on Corner of 1300 E. 3300 S.</t>
  </si>
  <si>
    <t>3319 S. 1300 E.</t>
  </si>
  <si>
    <t>3333 S. 1300 E.</t>
  </si>
  <si>
    <t>Statefarm</t>
  </si>
  <si>
    <t>Statefarm Parking</t>
  </si>
  <si>
    <t>1354 Office</t>
  </si>
  <si>
    <t>Modusfit</t>
  </si>
  <si>
    <t>Home Depot North Parking</t>
  </si>
  <si>
    <t>Small Parcel behind Eduro Healthcare</t>
  </si>
  <si>
    <t>Eduro Healthcare</t>
  </si>
  <si>
    <t>Emissions Plus west lot</t>
  </si>
  <si>
    <t>Emissions Plus</t>
  </si>
  <si>
    <t>Linda's Furniture Parking</t>
  </si>
  <si>
    <t>Linda's Furniture</t>
  </si>
  <si>
    <t>AquaVie Spa</t>
  </si>
  <si>
    <t>1325 E. 3345 S.</t>
  </si>
  <si>
    <t>Land behind house</t>
  </si>
  <si>
    <t>Land next to big empty corner</t>
  </si>
  <si>
    <t>Joshua Tree Apartments</t>
  </si>
  <si>
    <t>Land next to Liquid Joe's</t>
  </si>
  <si>
    <t>1341 E. 3205 S&gt;</t>
  </si>
  <si>
    <t>Land west of 1341 E.</t>
  </si>
  <si>
    <t>1347 E. 3205 S.</t>
  </si>
  <si>
    <t>1353 E. 3205 S.</t>
  </si>
  <si>
    <t>1311 E. 3205 S.</t>
  </si>
  <si>
    <t>1315 E. 3205 S.</t>
  </si>
  <si>
    <t>1319 E. 3205 S&gt;</t>
  </si>
  <si>
    <t>BK</t>
  </si>
  <si>
    <t>Aposhian Garage</t>
  </si>
  <si>
    <t>Gymnastics training center</t>
  </si>
  <si>
    <t>1527 E. 3350 S.</t>
  </si>
  <si>
    <t>Highlander Bike</t>
  </si>
  <si>
    <t>Corner of Highland and 3350 S.</t>
  </si>
  <si>
    <t>Table X</t>
  </si>
  <si>
    <t>Namedroppers</t>
  </si>
  <si>
    <t>3369 Building</t>
  </si>
  <si>
    <t>Millcreek Automotive</t>
  </si>
  <si>
    <t>Office behind walgreens</t>
  </si>
  <si>
    <t>1449 E. 3300 S.</t>
  </si>
  <si>
    <t>Walgreens</t>
  </si>
  <si>
    <t>Highland Drive Mini Storage</t>
  </si>
  <si>
    <t>Church Parking Lot</t>
  </si>
  <si>
    <t>Church</t>
  </si>
  <si>
    <t>Thomas Insurance Agency Strip</t>
  </si>
  <si>
    <t>BK Auto</t>
  </si>
  <si>
    <t>Wolcotts</t>
  </si>
  <si>
    <t>1225 E. Elgin Ave</t>
  </si>
  <si>
    <t>1235 E. Elgin Ave</t>
  </si>
  <si>
    <t>Lumpy's</t>
  </si>
  <si>
    <t>Del Taco</t>
  </si>
  <si>
    <t>Chase Bank</t>
  </si>
  <si>
    <t>Sugarhouse Storage</t>
  </si>
  <si>
    <t>Maybe Sugarhouse Storage</t>
  </si>
  <si>
    <t>Hyland Cyclery</t>
  </si>
  <si>
    <t>Lot Behind Pehrsens</t>
  </si>
  <si>
    <t>Pehrsens</t>
  </si>
  <si>
    <t>Skyline Flower</t>
  </si>
  <si>
    <t>Skyline Flowers Lot?</t>
  </si>
  <si>
    <t>1291 E. Gunn</t>
  </si>
  <si>
    <t>1285 Gunn (Ruth Electric)</t>
  </si>
  <si>
    <t>1275 Gunn</t>
  </si>
  <si>
    <t>1265 Gunn</t>
  </si>
  <si>
    <t>3055 S. Richmond ST</t>
  </si>
  <si>
    <t>Rug Gallery Parking</t>
  </si>
  <si>
    <t>Rug Gallery</t>
  </si>
  <si>
    <t>Hyland Pharmacy Building</t>
  </si>
  <si>
    <t>1341 E. Miller</t>
  </si>
  <si>
    <t>Glaus Pastry</t>
  </si>
  <si>
    <t>Big O</t>
  </si>
  <si>
    <t>Strip of Land east of 8</t>
  </si>
  <si>
    <t>Roads, Easements, Right-of-Ways, etc.</t>
  </si>
  <si>
    <t>Salt Lake County Library</t>
  </si>
  <si>
    <t>Granite School District</t>
  </si>
  <si>
    <t>Millcreek City</t>
  </si>
  <si>
    <t>South Salt Lake Valley Mosquito Abatement District</t>
  </si>
  <si>
    <t>Mt. Olympus Improvement District</t>
  </si>
  <si>
    <t>Central Utah Water Conservancy District</t>
  </si>
  <si>
    <t>Unified Fire Service Area</t>
  </si>
  <si>
    <t>2018 Rates</t>
  </si>
  <si>
    <t>Millcreek Community Reinvestment Agency</t>
  </si>
  <si>
    <t>Millcreek Center CRA</t>
  </si>
  <si>
    <t>Project Area Acres</t>
  </si>
  <si>
    <t>Assessed Value per Sqft Estimates</t>
  </si>
  <si>
    <t>Taxable Sales per Sq. Ft.</t>
  </si>
  <si>
    <t>Developable Acres</t>
  </si>
  <si>
    <t>General Retail</t>
  </si>
  <si>
    <t>Sq. Ft. per Acre</t>
  </si>
  <si>
    <t xml:space="preserve">Commercial </t>
  </si>
  <si>
    <t xml:space="preserve">Office </t>
  </si>
  <si>
    <t>Mixed Use</t>
  </si>
  <si>
    <t>Percent of New Development</t>
  </si>
  <si>
    <t>New Development (Mixed-Use)</t>
  </si>
  <si>
    <t>%</t>
  </si>
  <si>
    <t xml:space="preserve">Total Sq. Ft. </t>
  </si>
  <si>
    <t>FAR or Units/Acre</t>
  </si>
  <si>
    <t>Developable Sq. Ft.</t>
  </si>
  <si>
    <t>Total Units</t>
  </si>
  <si>
    <t>Total Mixed-Use</t>
  </si>
  <si>
    <t>New Development (Commercial)</t>
  </si>
  <si>
    <t>Total Commercial</t>
  </si>
  <si>
    <t>New Development (Residential)</t>
  </si>
  <si>
    <t>Residential (Avg. Sq. Ft. per Unit)</t>
  </si>
  <si>
    <t>SUMMARY of Development Assumptions</t>
  </si>
  <si>
    <t>Developed Acres</t>
  </si>
  <si>
    <t>Developed SF</t>
  </si>
  <si>
    <t>% Developed SF</t>
  </si>
  <si>
    <t>Per Unit Price</t>
  </si>
  <si>
    <t>Constr. Cost per SF</t>
  </si>
  <si>
    <t>Jobs per Acre (Redwood Road existing area)</t>
  </si>
  <si>
    <t>Land Value per SF</t>
  </si>
  <si>
    <t>Incremental Land Value</t>
  </si>
  <si>
    <t>Total Additional Jobs upon Absorption</t>
  </si>
  <si>
    <t>Sales per SF</t>
  </si>
  <si>
    <t>Const. Cost/SF Source: Layton Construction, Sept 2011 for Market Station, Retail (Wholesale) from Comparable Values</t>
  </si>
  <si>
    <t>Source: Comparables Values from similar buildings in the market area. Obtained from Salt Lake County Assessors Office</t>
  </si>
  <si>
    <t>Total Jobs</t>
  </si>
  <si>
    <t>Land Values</t>
  </si>
  <si>
    <t>Pre-development Land Values (sq. ft.)</t>
  </si>
  <si>
    <t xml:space="preserve">Base Land Value pre-development </t>
  </si>
  <si>
    <t>Post-development Land Values (sq. ft.)</t>
  </si>
  <si>
    <t>Use</t>
  </si>
  <si>
    <t>Comparables (Land Value/Sq. Ft.)</t>
  </si>
  <si>
    <t>Value Added by Development</t>
  </si>
  <si>
    <t>Average</t>
  </si>
  <si>
    <t>Add Mass Transit</t>
  </si>
  <si>
    <t>Supplemental State</t>
  </si>
  <si>
    <t>Bot, Cult, Zoo</t>
  </si>
  <si>
    <t>City Option Tax</t>
  </si>
  <si>
    <t>Source: Rates in effect as of January 1, 2015; http://tax.utah.gov/sales/rates</t>
  </si>
  <si>
    <t>Estimated New Construction/Absorption (Sq. Ft)</t>
  </si>
  <si>
    <t>Total Commercial (Acres)</t>
  </si>
  <si>
    <t>Total Annual Commercial Development (Sq. Ft.)</t>
  </si>
  <si>
    <t>Residential (Sq. Ft.)</t>
  </si>
  <si>
    <t>Residential (Units)</t>
  </si>
  <si>
    <t>Residential (Acres)</t>
  </si>
  <si>
    <t>Total Annual Residential Development (units)</t>
  </si>
  <si>
    <t>Cumulative Absorption (Sq. Ft.)</t>
  </si>
  <si>
    <t>Land Values (Value Added Post-development)</t>
  </si>
  <si>
    <t>Total Commercial (Retail) Property Values</t>
  </si>
  <si>
    <t>Total Office Property Values</t>
  </si>
  <si>
    <t>Total Residential Property Values</t>
  </si>
  <si>
    <t>County Option Trans</t>
  </si>
  <si>
    <t>Source: Rates in effect as of Oct 1, 2018</t>
  </si>
  <si>
    <r>
      <t xml:space="preserve">General Government Expenditures (2018) </t>
    </r>
    <r>
      <rPr>
        <vertAlign val="superscript"/>
        <sz val="10"/>
        <rFont val="Arial Narrow"/>
        <family val="2"/>
      </rPr>
      <t>2</t>
    </r>
  </si>
  <si>
    <t>Note 2: Source, Utah State Auditors Office - Millcreek Budget</t>
  </si>
  <si>
    <t>Assessed Value of Taxing Entity (2017)</t>
  </si>
  <si>
    <t>Increment (Annually) after 20 Years</t>
  </si>
  <si>
    <t>New Increment to RDA</t>
  </si>
  <si>
    <t>New Increment Retained by Taxing Entities</t>
  </si>
  <si>
    <t>Wolcotts PL</t>
  </si>
  <si>
    <t>DR AUTOMOTIVE/GARAGE, LLC</t>
  </si>
  <si>
    <t>C.C. &amp; L. ENTERPRISES LLC</t>
  </si>
  <si>
    <t xml:space="preserve">Tony's </t>
  </si>
  <si>
    <t>BRICKYARD LOFTS, LLC</t>
  </si>
  <si>
    <t>K.B.I.K. HOLDINGS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</si>
</sst>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5" formatCode="&quot;$&quot;#,##0_);\(&quot;$&quot;#,##0\)"/>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0.0%"/>
    <numFmt numFmtId="168" formatCode="_(* #,##0.000000_);_(* \(#,##0.000000\);_(* &quot;-&quot;??_);_(@_)"/>
    <numFmt numFmtId="169" formatCode="&quot;$&quot;#,##0"/>
    <numFmt numFmtId="170" formatCode="&quot;$&quot;#,##0.00"/>
    <numFmt numFmtId="171" formatCode="_(&quot;$&quot;* #,##0.00000_);_(&quot;$&quot;* \(#,##0.00000\);_(&quot;$&quot;* &quot;-&quot;??_);_(@_)"/>
    <numFmt numFmtId="172" formatCode="@*."/>
    <numFmt numFmtId="173" formatCode="0.0"/>
    <numFmt numFmtId="174" formatCode="_(&quot;$&quot;* #,##0_);_(&quot;$&quot;* \(#,##0\);_(&quot;$&quot;* &quot;-&quot;?????_);_(@_)"/>
    <numFmt numFmtId="175" formatCode="_(&quot;$&quot;* #,##0.000_);_(&quot;$&quot;* \(#,##0.000\);_(&quot;$&quot;* &quot;-&quot;??_);_(@_)"/>
    <numFmt numFmtId="176" formatCode="_(* #,##0.00000_);_(* \(#,##0.00000\);_(* &quot;-&quot;??_);_(@_)"/>
    <numFmt numFmtId="177" formatCode="0.000%"/>
    <numFmt numFmtId="178" formatCode="General_)"/>
    <numFmt numFmtId="179" formatCode="&quot;NPV @&quot;\ ###%"/>
    <numFmt numFmtId="180" formatCode="&quot;Year&quot;\ ##"/>
    <numFmt numFmtId="181" formatCode="_(* #,##0.000_);_(* \(#,##0.000\);_(* &quot;-&quot;??_);_(@_)"/>
    <numFmt numFmtId="182" formatCode="#,##0.0"/>
    <numFmt numFmtId="183" formatCode="_(* #,##0.00_);_(* \(#,##0.00\);_(* &quot;-&quot;_);_(@_)"/>
    <numFmt numFmtId="184" formatCode="_(* #,##0.0_);_(* \(#,##0.0\);_(* &quot;-&quot;_);_(@_)"/>
  </numFmts>
  <fonts count="1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8"/>
      <name val="AvantGarde Bk BT"/>
      <family val="2"/>
    </font>
    <font>
      <sz val="12"/>
      <name val="AvantGarde Bk BT"/>
      <family val="2"/>
    </font>
    <font>
      <b/>
      <sz val="10"/>
      <name val="Arial"/>
      <family val="2"/>
    </font>
    <font>
      <sz val="20"/>
      <name val="Arial Narrow"/>
      <family val="2"/>
    </font>
    <font>
      <sz val="10"/>
      <name val="Arial Narrow"/>
      <family val="2"/>
    </font>
    <font>
      <sz val="12"/>
      <name val="Arial Narrow"/>
      <family val="2"/>
    </font>
    <font>
      <i/>
      <u/>
      <sz val="12"/>
      <name val="Arial Narrow"/>
      <family val="2"/>
    </font>
    <font>
      <sz val="8"/>
      <name val="Arial Narrow"/>
      <family val="2"/>
    </font>
    <font>
      <b/>
      <sz val="10"/>
      <name val="Arial Narrow"/>
      <family val="2"/>
    </font>
    <font>
      <b/>
      <sz val="14"/>
      <name val="Arial Narrow"/>
      <family val="2"/>
    </font>
    <font>
      <sz val="10"/>
      <name val="Arial"/>
      <family val="2"/>
    </font>
    <font>
      <sz val="10"/>
      <color rgb="FFFF0000"/>
      <name val="Arial Narrow"/>
      <family val="2"/>
    </font>
    <font>
      <sz val="18"/>
      <name val="Arial Narrow"/>
      <family val="2"/>
    </font>
    <font>
      <b/>
      <sz val="10"/>
      <color theme="0"/>
      <name val="Arial Narrow"/>
      <family val="2"/>
    </font>
    <font>
      <sz val="8"/>
      <color theme="1"/>
      <name val="Arial Narrow"/>
      <family val="2"/>
    </font>
    <font>
      <b/>
      <sz val="11"/>
      <color theme="1"/>
      <name val="Calibri"/>
      <family val="2"/>
      <scheme val="minor"/>
    </font>
    <font>
      <i/>
      <sz val="8"/>
      <name val="Arial Narrow"/>
      <family val="2"/>
    </font>
    <font>
      <sz val="9"/>
      <name val="Arial"/>
      <family val="2"/>
    </font>
    <font>
      <b/>
      <sz val="10"/>
      <color rgb="FF064497"/>
      <name val="Arial"/>
      <family val="2"/>
    </font>
    <font>
      <sz val="16"/>
      <name val="Arial"/>
      <family val="2"/>
    </font>
    <font>
      <sz val="14"/>
      <name val="Arial"/>
      <family val="2"/>
    </font>
    <font>
      <b/>
      <sz val="8"/>
      <color indexed="9"/>
      <name val="Arial"/>
      <family val="2"/>
    </font>
    <font>
      <b/>
      <sz val="12"/>
      <color indexed="9"/>
      <name val="Arial"/>
      <family val="2"/>
    </font>
    <font>
      <b/>
      <sz val="10"/>
      <color indexed="9"/>
      <name val="Arial"/>
      <family val="2"/>
    </font>
    <font>
      <b/>
      <sz val="11"/>
      <color indexed="18"/>
      <name val="Arial"/>
      <family val="2"/>
    </font>
    <font>
      <vertAlign val="superscript"/>
      <sz val="10"/>
      <name val="Arial"/>
      <family val="2"/>
    </font>
    <font>
      <b/>
      <sz val="14"/>
      <name val="Arial"/>
      <family val="2"/>
    </font>
    <font>
      <sz val="10"/>
      <name val="MS Sans Serif"/>
      <family val="2"/>
    </font>
    <font>
      <b/>
      <sz val="12"/>
      <color indexed="9"/>
      <name val="Arial Narrow"/>
      <family val="2"/>
    </font>
    <font>
      <b/>
      <vertAlign val="superscript"/>
      <sz val="10"/>
      <color indexed="9"/>
      <name val="Arial"/>
      <family val="2"/>
    </font>
    <font>
      <sz val="7"/>
      <name val="Arial"/>
      <family val="2"/>
    </font>
    <font>
      <b/>
      <sz val="12"/>
      <name val="Arial"/>
      <family val="2"/>
    </font>
    <font>
      <b/>
      <sz val="8"/>
      <name val="Arial"/>
      <family val="2"/>
    </font>
    <font>
      <b/>
      <sz val="7"/>
      <name val="Arial"/>
      <family val="2"/>
    </font>
    <font>
      <b/>
      <vertAlign val="superscript"/>
      <sz val="8"/>
      <name val="Arial"/>
      <family val="2"/>
    </font>
    <font>
      <vertAlign val="superscript"/>
      <sz val="8"/>
      <name val="Arial"/>
      <family val="2"/>
    </font>
    <font>
      <b/>
      <vertAlign val="superscript"/>
      <sz val="10"/>
      <name val="Arial"/>
      <family val="2"/>
    </font>
    <font>
      <b/>
      <sz val="10"/>
      <name val="Verdana"/>
      <family val="2"/>
    </font>
    <font>
      <sz val="10"/>
      <name val="Verdana"/>
      <family val="2"/>
    </font>
    <font>
      <sz val="10"/>
      <name val="Arial Unicode MS"/>
      <family val="2"/>
    </font>
    <font>
      <b/>
      <sz val="10"/>
      <name val="Arial Unicode MS"/>
      <family val="2"/>
    </font>
    <font>
      <sz val="10"/>
      <color theme="0"/>
      <name val="Arial Narrow"/>
      <family val="2"/>
    </font>
    <font>
      <sz val="8"/>
      <name val="MS Sans Serif"/>
      <family val="2"/>
    </font>
    <font>
      <sz val="14"/>
      <name val="Arial Narrow"/>
      <family val="2"/>
    </font>
    <font>
      <sz val="16"/>
      <name val="Arial Narrow"/>
      <family val="2"/>
    </font>
    <font>
      <b/>
      <sz val="8"/>
      <color indexed="9"/>
      <name val="Arial Narrow"/>
      <family val="2"/>
    </font>
    <font>
      <b/>
      <sz val="10"/>
      <color indexed="9"/>
      <name val="Arial Narrow"/>
      <family val="2"/>
    </font>
    <font>
      <b/>
      <sz val="11"/>
      <color indexed="18"/>
      <name val="Arial Narrow"/>
      <family val="2"/>
    </font>
    <font>
      <vertAlign val="superscript"/>
      <sz val="10"/>
      <name val="Arial Narrow"/>
      <family val="2"/>
    </font>
    <font>
      <b/>
      <vertAlign val="superscript"/>
      <sz val="10"/>
      <color indexed="9"/>
      <name val="Arial Narrow"/>
      <family val="2"/>
    </font>
    <font>
      <sz val="10"/>
      <color theme="1"/>
      <name val="Arial"/>
      <family val="2"/>
    </font>
    <font>
      <i/>
      <sz val="8"/>
      <color theme="0"/>
      <name val="Arial Narrow"/>
      <family val="2"/>
    </font>
    <font>
      <sz val="8"/>
      <color theme="1"/>
      <name val="Palatino Linotype"/>
      <family val="2"/>
    </font>
    <font>
      <b/>
      <sz val="9"/>
      <color indexed="81"/>
      <name val="Tahoma"/>
      <family val="2"/>
    </font>
    <font>
      <sz val="9"/>
      <color indexed="81"/>
      <name val="Tahoma"/>
      <family val="2"/>
    </font>
    <font>
      <sz val="13.5"/>
      <name val="Arial"/>
      <family val="2"/>
    </font>
    <font>
      <b/>
      <sz val="18"/>
      <name val="Arial"/>
      <family val="2"/>
    </font>
    <font>
      <b/>
      <u/>
      <sz val="10"/>
      <name val="Arial"/>
      <family val="2"/>
    </font>
    <font>
      <b/>
      <u/>
      <sz val="12"/>
      <name val="Arial"/>
      <family val="2"/>
    </font>
    <font>
      <b/>
      <sz val="8"/>
      <name val="Arial Narrow"/>
      <family val="2"/>
    </font>
    <font>
      <sz val="8"/>
      <color rgb="FFFF0000"/>
      <name val="Arial Narrow"/>
      <family val="2"/>
    </font>
    <font>
      <i/>
      <u/>
      <sz val="8"/>
      <name val="Arial Narrow"/>
      <family val="2"/>
    </font>
    <font>
      <sz val="8"/>
      <color theme="0"/>
      <name val="Arial Narrow"/>
      <family val="2"/>
    </font>
    <font>
      <b/>
      <sz val="8"/>
      <color rgb="FFFF0000"/>
      <name val="Arial Narrow"/>
      <family val="2"/>
    </font>
    <font>
      <b/>
      <sz val="8"/>
      <color theme="0"/>
      <name val="Arial Narrow"/>
      <family val="2"/>
    </font>
    <font>
      <b/>
      <i/>
      <u/>
      <sz val="8"/>
      <color rgb="FFFF0000"/>
      <name val="Arial Narrow"/>
      <family val="2"/>
    </font>
    <font>
      <b/>
      <u/>
      <sz val="8"/>
      <name val="Arial Narrow"/>
      <family val="2"/>
    </font>
    <font>
      <vertAlign val="superscript"/>
      <sz val="8"/>
      <name val="Arial Narrow"/>
      <family val="2"/>
    </font>
    <font>
      <sz val="8"/>
      <color indexed="9"/>
      <name val="Arial Narrow"/>
      <family val="2"/>
    </font>
    <font>
      <sz val="8"/>
      <color theme="0" tint="-0.34998626667073579"/>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font>
    <font>
      <b/>
      <u/>
      <sz val="11"/>
      <name val="Arial Narrow"/>
      <family val="2"/>
    </font>
    <font>
      <i/>
      <u/>
      <sz val="11"/>
      <name val="Arial Narrow"/>
      <family val="2"/>
    </font>
    <font>
      <sz val="10"/>
      <color theme="1"/>
      <name val="Arial Narrow"/>
      <family val="2"/>
    </font>
    <font>
      <sz val="11"/>
      <name val="Arial Narrow"/>
      <family val="2"/>
    </font>
    <font>
      <b/>
      <sz val="14"/>
      <color rgb="FF000000"/>
      <name val="Arial Narrow"/>
      <family val="2"/>
    </font>
    <font>
      <sz val="14"/>
      <color rgb="FF000000"/>
      <name val="Arial Narrow"/>
      <family val="2"/>
    </font>
    <font>
      <b/>
      <sz val="16"/>
      <name val="Arial Narrow"/>
      <family val="2"/>
    </font>
    <font>
      <b/>
      <sz val="10"/>
      <name val="Palatino Linotype"/>
      <family val="1"/>
    </font>
    <font>
      <sz val="10"/>
      <name val="Palatino Linotype"/>
      <family val="1"/>
    </font>
    <font>
      <sz val="9"/>
      <name val="Arial Narrow"/>
      <family val="2"/>
    </font>
    <font>
      <b/>
      <u/>
      <sz val="8"/>
      <color rgb="FFFF0000"/>
      <name val="Arial Narrow"/>
      <family val="2"/>
    </font>
    <font>
      <b/>
      <sz val="8"/>
      <color theme="5"/>
      <name val="Arial Narrow"/>
      <family val="2"/>
    </font>
    <font>
      <b/>
      <i/>
      <sz val="8"/>
      <name val="Arial Narrow"/>
      <family val="2"/>
    </font>
    <font>
      <i/>
      <sz val="8"/>
      <color theme="0" tint="-0.34998626667073579"/>
      <name val="Arial Narrow"/>
      <family val="2"/>
    </font>
    <font>
      <b/>
      <sz val="10"/>
      <color rgb="FFFFFFFF"/>
      <name val="Arial Narrow"/>
      <family val="2"/>
    </font>
    <font>
      <u/>
      <sz val="10"/>
      <color theme="10"/>
      <name val="Arial"/>
      <family val="2"/>
    </font>
  </fonts>
  <fills count="5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6F6F6"/>
        <bgColor indexed="64"/>
      </patternFill>
    </fill>
    <fill>
      <patternFill patternType="solid">
        <fgColor indexed="56"/>
        <bgColor indexed="64"/>
      </patternFill>
    </fill>
    <fill>
      <patternFill patternType="solid">
        <fgColor rgb="FFEAF2FF"/>
        <bgColor indexed="64"/>
      </patternFill>
    </fill>
    <fill>
      <patternFill patternType="solid">
        <fgColor rgb="FFFFFFFF"/>
        <bgColor indexed="64"/>
      </patternFill>
    </fill>
    <fill>
      <patternFill patternType="solid">
        <fgColor rgb="FFDAE9FC"/>
        <bgColor indexed="64"/>
      </patternFill>
    </fill>
    <fill>
      <patternFill patternType="solid">
        <fgColor indexed="65"/>
        <bgColor indexed="64"/>
      </patternFill>
    </fill>
    <fill>
      <patternFill patternType="solid">
        <fgColor indexed="47"/>
        <bgColor indexed="64"/>
      </patternFill>
    </fill>
    <fill>
      <patternFill patternType="gray06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FFFFCC"/>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FBFBF"/>
        <bgColor indexed="64"/>
      </patternFill>
    </fill>
    <fill>
      <patternFill patternType="solid">
        <fgColor theme="5" tint="0.79998168889431442"/>
        <bgColor indexed="64"/>
      </patternFill>
    </fill>
  </fills>
  <borders count="194">
    <border>
      <left/>
      <right/>
      <top/>
      <bottom/>
      <diagonal/>
    </border>
    <border>
      <left/>
      <right/>
      <top style="medium">
        <color auto="1"/>
      </top>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medium">
        <color auto="1"/>
      </right>
      <top style="medium">
        <color auto="1"/>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right style="thin">
        <color theme="0" tint="-0.499984740745262"/>
      </right>
      <top style="medium">
        <color auto="1"/>
      </top>
      <bottom style="thin">
        <color theme="0" tint="-0.499984740745262"/>
      </bottom>
      <diagonal/>
    </border>
    <border>
      <left style="medium">
        <color auto="1"/>
      </left>
      <right style="thin">
        <color theme="0" tint="-0.499984740745262"/>
      </right>
      <top style="medium">
        <color auto="1"/>
      </top>
      <bottom style="thin">
        <color theme="0" tint="-0.499984740745262"/>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top style="medium">
        <color auto="1"/>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medium">
        <color auto="1"/>
      </left>
      <right style="thick">
        <color auto="1"/>
      </right>
      <top style="thick">
        <color auto="1"/>
      </top>
      <bottom style="thin">
        <color auto="1"/>
      </bottom>
      <diagonal/>
    </border>
    <border>
      <left style="thick">
        <color auto="1"/>
      </left>
      <right/>
      <top/>
      <bottom style="thin">
        <color auto="1"/>
      </bottom>
      <diagonal/>
    </border>
    <border>
      <left style="medium">
        <color auto="1"/>
      </left>
      <right style="thick">
        <color auto="1"/>
      </right>
      <top/>
      <bottom style="thin">
        <color auto="1"/>
      </bottom>
      <diagonal/>
    </border>
    <border>
      <left style="thick">
        <color auto="1"/>
      </left>
      <right/>
      <top style="thin">
        <color auto="1"/>
      </top>
      <bottom style="thin">
        <color auto="1"/>
      </bottom>
      <diagonal/>
    </border>
    <border>
      <left/>
      <right style="medium">
        <color auto="1"/>
      </right>
      <top style="medium">
        <color auto="1"/>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double">
        <color auto="1"/>
      </bottom>
      <diagonal/>
    </border>
    <border>
      <left style="medium">
        <color auto="1"/>
      </left>
      <right style="thin">
        <color theme="0" tint="-0.24994659260841701"/>
      </right>
      <top style="thin">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theme="0" tint="-0.24994659260841701"/>
      </right>
      <top style="thin">
        <color theme="0" tint="-0.24994659260841701"/>
      </top>
      <bottom/>
      <diagonal/>
    </border>
    <border>
      <left/>
      <right style="thin">
        <color auto="1"/>
      </right>
      <top style="medium">
        <color auto="1"/>
      </top>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right style="medium">
        <color auto="1"/>
      </right>
      <top/>
      <bottom style="medium">
        <color auto="1"/>
      </bottom>
      <diagonal/>
    </border>
    <border>
      <left style="thin">
        <color auto="1"/>
      </left>
      <right style="medium">
        <color auto="1"/>
      </right>
      <top/>
      <bottom style="thin">
        <color theme="0" tint="-0.24994659260841701"/>
      </bottom>
      <diagonal/>
    </border>
    <border>
      <left style="thin">
        <color auto="1"/>
      </left>
      <right/>
      <top/>
      <bottom style="thin">
        <color theme="0" tint="-0.24994659260841701"/>
      </bottom>
      <diagonal/>
    </border>
    <border>
      <left style="medium">
        <color auto="1"/>
      </left>
      <right/>
      <top style="medium">
        <color auto="1"/>
      </top>
      <bottom style="thin">
        <color theme="0" tint="-0.499984740745262"/>
      </bottom>
      <diagonal/>
    </border>
    <border>
      <left/>
      <right/>
      <top style="medium">
        <color auto="1"/>
      </top>
      <bottom style="thin">
        <color theme="0" tint="-0.499984740745262"/>
      </bottom>
      <diagonal/>
    </border>
    <border>
      <left style="medium">
        <color theme="0" tint="-0.499984740745262"/>
      </left>
      <right/>
      <top style="medium">
        <color auto="1"/>
      </top>
      <bottom style="thin">
        <color theme="0" tint="-0.499984740745262"/>
      </bottom>
      <diagonal/>
    </border>
    <border>
      <left/>
      <right style="medium">
        <color theme="0" tint="-0.499984740745262"/>
      </right>
      <top style="medium">
        <color auto="1"/>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top style="thin">
        <color theme="0" tint="-0.499984740745262"/>
      </top>
      <bottom style="medium">
        <color auto="1"/>
      </bottom>
      <diagonal/>
    </border>
    <border>
      <left style="medium">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theme="0" tint="-0.499984740745262"/>
      </right>
      <top style="thin">
        <color theme="0" tint="-0.499984740745262"/>
      </top>
      <bottom style="medium">
        <color auto="1"/>
      </bottom>
      <diagonal/>
    </border>
    <border>
      <left style="thin">
        <color theme="0" tint="-0.499984740745262"/>
      </left>
      <right style="medium">
        <color auto="1"/>
      </right>
      <top/>
      <bottom style="thin">
        <color theme="0" tint="-0.499984740745262"/>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double">
        <color auto="1"/>
      </bottom>
      <diagonal/>
    </border>
    <border>
      <left style="medium">
        <color auto="1"/>
      </left>
      <right style="thin">
        <color theme="0" tint="-0.24994659260841701"/>
      </right>
      <top style="thin">
        <color theme="0" tint="-0.499984740745262"/>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medium">
        <color auto="1"/>
      </right>
      <top style="thin">
        <color theme="0" tint="-0.24994659260841701"/>
      </top>
      <bottom style="medium">
        <color auto="1"/>
      </bottom>
      <diagonal/>
    </border>
    <border>
      <left style="medium">
        <color auto="1"/>
      </left>
      <right style="thin">
        <color theme="0" tint="-0.24994659260841701"/>
      </right>
      <top/>
      <bottom style="thin">
        <color theme="0" tint="-0.24994659260841701"/>
      </bottom>
      <diagonal/>
    </border>
    <border>
      <left/>
      <right style="thin">
        <color theme="0" tint="-0.24994659260841701"/>
      </right>
      <top style="thin">
        <color theme="0" tint="-0.499984740745262"/>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auto="1"/>
      </bottom>
      <diagonal/>
    </border>
    <border>
      <left style="thin">
        <color theme="0" tint="-0.24994659260841701"/>
      </left>
      <right style="medium">
        <color auto="1"/>
      </right>
      <top style="medium">
        <color auto="1"/>
      </top>
      <bottom style="thin">
        <color theme="0" tint="-0.24994659260841701"/>
      </bottom>
      <diagonal/>
    </border>
    <border>
      <left/>
      <right style="medium">
        <color auto="1"/>
      </right>
      <top style="thin">
        <color theme="0" tint="-0.499984740745262"/>
      </top>
      <bottom style="thin">
        <color theme="0" tint="-0.24994659260841701"/>
      </bottom>
      <diagonal/>
    </border>
    <border>
      <left/>
      <right style="thin">
        <color theme="0" tint="-0.24994659260841701"/>
      </right>
      <top style="thin">
        <color auto="1"/>
      </top>
      <bottom style="medium">
        <color auto="1"/>
      </bottom>
      <diagonal/>
    </border>
    <border>
      <left style="medium">
        <color auto="1"/>
      </left>
      <right style="thin">
        <color theme="0" tint="-0.24994659260841701"/>
      </right>
      <top style="thin">
        <color auto="1"/>
      </top>
      <bottom style="medium">
        <color auto="1"/>
      </bottom>
      <diagonal/>
    </border>
    <border>
      <left style="thin">
        <color theme="0" tint="-0.24994659260841701"/>
      </left>
      <right style="medium">
        <color auto="1"/>
      </right>
      <top style="thin">
        <color auto="1"/>
      </top>
      <bottom style="medium">
        <color auto="1"/>
      </bottom>
      <diagonal/>
    </border>
    <border>
      <left style="medium">
        <color auto="1"/>
      </left>
      <right style="thin">
        <color theme="0" tint="-0.24994659260841701"/>
      </right>
      <top style="thin">
        <color theme="0" tint="-0.24994659260841701"/>
      </top>
      <bottom style="double">
        <color auto="1"/>
      </bottom>
      <diagonal/>
    </border>
    <border>
      <left/>
      <right style="thin">
        <color theme="0" tint="-0.24994659260841701"/>
      </right>
      <top style="thin">
        <color theme="0" tint="-0.2499465926084170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medium">
        <color theme="0" tint="-0.499984740745262"/>
      </left>
      <right/>
      <top style="medium">
        <color auto="1"/>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thin">
        <color rgb="FFB2B2B2"/>
      </left>
      <right style="thin">
        <color rgb="FFB2B2B2"/>
      </right>
      <top style="thin">
        <color rgb="FFB2B2B2"/>
      </top>
      <bottom style="thin">
        <color rgb="FFB2B2B2"/>
      </bottom>
      <diagonal/>
    </border>
    <border>
      <left style="thin">
        <color theme="0" tint="-0.499984740745262"/>
      </left>
      <right/>
      <top style="medium">
        <color auto="1"/>
      </top>
      <bottom style="thin">
        <color auto="1"/>
      </bottom>
      <diagonal/>
    </border>
    <border>
      <left/>
      <right style="thin">
        <color theme="0" tint="-0.499984740745262"/>
      </right>
      <top style="medium">
        <color auto="1"/>
      </top>
      <bottom/>
      <diagonal/>
    </border>
    <border>
      <left/>
      <right/>
      <top style="thin">
        <color theme="0" tint="-0.499984740745262"/>
      </top>
      <bottom style="thin">
        <color theme="0" tint="-0.24994659260841701"/>
      </bottom>
      <diagonal/>
    </border>
    <border>
      <left/>
      <right style="thin">
        <color theme="0" tint="-0.24994659260841701"/>
      </right>
      <top style="medium">
        <color auto="1"/>
      </top>
      <bottom style="thin">
        <color theme="0" tint="-0.24994659260841701"/>
      </bottom>
      <diagonal/>
    </border>
    <border>
      <left/>
      <right style="thin">
        <color theme="0" tint="-0.24994659260841701"/>
      </right>
      <top style="thin">
        <color theme="0" tint="-0.24994659260841701"/>
      </top>
      <bottom style="double">
        <color auto="1"/>
      </bottom>
      <diagonal/>
    </border>
    <border>
      <left style="thin">
        <color theme="0" tint="-0.499984740745262"/>
      </left>
      <right/>
      <top style="medium">
        <color auto="1"/>
      </top>
      <bottom style="thin">
        <color theme="0" tint="-0.499984740745262"/>
      </bottom>
      <diagonal/>
    </border>
    <border>
      <left style="thin">
        <color theme="0" tint="-0.24994659260841701"/>
      </left>
      <right/>
      <top style="thin">
        <color theme="0" tint="-0.499984740745262"/>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auto="1"/>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medium">
        <color auto="1"/>
      </bottom>
      <diagonal/>
    </border>
    <border>
      <left/>
      <right style="thin">
        <color theme="0" tint="-0.24994659260841701"/>
      </right>
      <top style="thin">
        <color auto="1"/>
      </top>
      <bottom style="thin">
        <color theme="0" tint="-0.24994659260841701"/>
      </bottom>
      <diagonal/>
    </border>
    <border>
      <left style="thin">
        <color auto="1"/>
      </left>
      <right/>
      <top style="thin">
        <color theme="0" tint="-0.24994659260841701"/>
      </top>
      <bottom style="double">
        <color auto="1"/>
      </bottom>
      <diagonal/>
    </border>
    <border>
      <left style="thin">
        <color auto="1"/>
      </left>
      <right style="medium">
        <color auto="1"/>
      </right>
      <top style="thin">
        <color theme="0" tint="-0.24994659260841701"/>
      </top>
      <bottom style="double">
        <color auto="1"/>
      </bottom>
      <diagonal/>
    </border>
    <border>
      <left style="medium">
        <color auto="1"/>
      </left>
      <right/>
      <top/>
      <bottom style="double">
        <color auto="1"/>
      </bottom>
      <diagonal/>
    </border>
    <border>
      <left style="thin">
        <color auto="1"/>
      </left>
      <right style="thin">
        <color auto="1"/>
      </right>
      <top style="thin">
        <color theme="0" tint="-0.24994659260841701"/>
      </top>
      <bottom style="double">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auto="1"/>
      </left>
      <right style="thin">
        <color theme="0" tint="-0.24994659260841701"/>
      </right>
      <top/>
      <bottom style="thin">
        <color auto="1"/>
      </bottom>
      <diagonal/>
    </border>
    <border>
      <left style="thin">
        <color theme="0" tint="-0.24994659260841701"/>
      </left>
      <right/>
      <top/>
      <bottom style="thin">
        <color auto="1"/>
      </bottom>
      <diagonal/>
    </border>
    <border>
      <left/>
      <right style="thin">
        <color theme="0" tint="-0.24994659260841701"/>
      </right>
      <top/>
      <bottom style="thin">
        <color auto="1"/>
      </bottom>
      <diagonal/>
    </border>
    <border>
      <left style="thin">
        <color theme="0" tint="-0.24994659260841701"/>
      </left>
      <right style="medium">
        <color auto="1"/>
      </right>
      <top/>
      <bottom style="thin">
        <color auto="1"/>
      </bottom>
      <diagonal/>
    </border>
    <border>
      <left style="thin">
        <color theme="0" tint="-0.24994659260841701"/>
      </left>
      <right style="thin">
        <color theme="0" tint="-0.24994659260841701"/>
      </right>
      <top/>
      <bottom style="thin">
        <color auto="1"/>
      </bottom>
      <diagonal/>
    </border>
    <border>
      <left style="thin">
        <color auto="1"/>
      </left>
      <right style="thin">
        <color auto="1"/>
      </right>
      <top style="thin">
        <color theme="1" tint="0.14999847407452621"/>
      </top>
      <bottom style="medium">
        <color auto="1"/>
      </bottom>
      <diagonal/>
    </border>
    <border>
      <left/>
      <right style="thin">
        <color auto="1"/>
      </right>
      <top style="thin">
        <color theme="1" tint="0.14999847407452621"/>
      </top>
      <bottom style="medium">
        <color auto="1"/>
      </bottom>
      <diagonal/>
    </border>
    <border>
      <left/>
      <right/>
      <top style="thin">
        <color theme="1" tint="0.14999847407452621"/>
      </top>
      <bottom style="medium">
        <color auto="1"/>
      </bottom>
      <diagonal/>
    </border>
    <border>
      <left/>
      <right/>
      <top style="double">
        <color auto="1"/>
      </top>
      <bottom style="medium">
        <color auto="1"/>
      </bottom>
      <diagonal/>
    </border>
    <border>
      <left/>
      <right style="thin">
        <color theme="0" tint="-0.499984740745262"/>
      </right>
      <top style="thin">
        <color auto="1"/>
      </top>
      <bottom/>
      <diagonal/>
    </border>
    <border>
      <left style="medium">
        <color rgb="FF7F7F7F"/>
      </left>
      <right style="medium">
        <color rgb="FF7F7F7F"/>
      </right>
      <top style="medium">
        <color rgb="FF7F7F7F"/>
      </top>
      <bottom style="medium">
        <color rgb="FF7F7F7F"/>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theme="0" tint="-0.499984740745262"/>
      </left>
      <right style="thin">
        <color theme="0" tint="-0.499984740745262"/>
      </right>
      <top style="thin">
        <color auto="1"/>
      </top>
      <bottom style="thin">
        <color auto="1"/>
      </bottom>
      <diagonal/>
    </border>
  </borders>
  <cellStyleXfs count="3772">
    <xf numFmtId="0" fontId="0" fillId="0" borderId="0"/>
    <xf numFmtId="43" fontId="17" fillId="0" borderId="0" applyFont="0" applyFill="0" applyBorder="0" applyAlignment="0" applyProtection="0"/>
    <xf numFmtId="43" fontId="29" fillId="0" borderId="0" applyFont="0" applyFill="0" applyBorder="0" applyAlignment="0" applyProtection="0"/>
    <xf numFmtId="44" fontId="17" fillId="0" borderId="0" applyFont="0" applyFill="0" applyBorder="0" applyAlignment="0" applyProtection="0"/>
    <xf numFmtId="44" fontId="29" fillId="0" borderId="0" applyFont="0" applyFill="0" applyBorder="0" applyAlignment="0" applyProtection="0"/>
    <xf numFmtId="0" fontId="29" fillId="0" borderId="0"/>
    <xf numFmtId="9" fontId="17" fillId="0" borderId="0" applyFont="0" applyFill="0" applyBorder="0" applyAlignment="0" applyProtection="0"/>
    <xf numFmtId="0" fontId="17" fillId="0" borderId="0"/>
    <xf numFmtId="44" fontId="17" fillId="0" borderId="0" applyFont="0" applyFill="0" applyBorder="0" applyAlignment="0" applyProtection="0"/>
    <xf numFmtId="0" fontId="46" fillId="0" borderId="0"/>
    <xf numFmtId="0" fontId="16" fillId="0" borderId="0"/>
    <xf numFmtId="9" fontId="16" fillId="0" borderId="0" applyFont="0" applyFill="0" applyBorder="0" applyAlignment="0" applyProtection="0"/>
    <xf numFmtId="43" fontId="16" fillId="0" borderId="0" applyFont="0" applyFill="0" applyBorder="0" applyAlignment="0" applyProtection="0"/>
    <xf numFmtId="0" fontId="69" fillId="0" borderId="0"/>
    <xf numFmtId="9" fontId="69" fillId="0" borderId="0" applyFont="0" applyFill="0" applyBorder="0" applyAlignment="0" applyProtection="0"/>
    <xf numFmtId="43" fontId="69" fillId="0" borderId="0" applyFont="0" applyFill="0" applyBorder="0" applyAlignment="0" applyProtection="0"/>
    <xf numFmtId="44" fontId="69" fillId="0" borderId="0" applyFont="0" applyFill="0" applyBorder="0" applyAlignment="0" applyProtection="0"/>
    <xf numFmtId="43" fontId="17" fillId="0" borderId="0" applyFont="0" applyFill="0" applyBorder="0" applyAlignment="0" applyProtection="0"/>
    <xf numFmtId="0" fontId="17" fillId="0" borderId="0"/>
    <xf numFmtId="0" fontId="15" fillId="0" borderId="0"/>
    <xf numFmtId="9" fontId="15" fillId="0" borderId="0" applyFont="0" applyFill="0" applyBorder="0" applyAlignment="0" applyProtection="0"/>
    <xf numFmtId="0" fontId="71" fillId="0" borderId="0"/>
    <xf numFmtId="43" fontId="71" fillId="0" borderId="0" applyFont="0" applyFill="0" applyBorder="0" applyAlignment="0" applyProtection="0"/>
    <xf numFmtId="44" fontId="71" fillId="0" borderId="0" applyFont="0" applyFill="0" applyBorder="0" applyAlignment="0" applyProtection="0"/>
    <xf numFmtId="0" fontId="14" fillId="0" borderId="0"/>
    <xf numFmtId="9" fontId="14" fillId="0" borderId="0" applyFont="0" applyFill="0" applyBorder="0" applyAlignment="0" applyProtection="0"/>
    <xf numFmtId="43" fontId="14" fillId="0" borderId="0" applyFont="0" applyFill="0" applyBorder="0" applyAlignment="0" applyProtection="0"/>
    <xf numFmtId="43" fontId="17" fillId="0" borderId="0" applyFont="0" applyFill="0" applyBorder="0" applyAlignment="0" applyProtection="0"/>
    <xf numFmtId="0" fontId="17"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4" fontId="14" fillId="0" borderId="0" applyFont="0" applyFill="0" applyBorder="0" applyAlignment="0" applyProtection="0"/>
    <xf numFmtId="0" fontId="13" fillId="0" borderId="0"/>
    <xf numFmtId="9"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44" fontId="13" fillId="0" borderId="0" applyFont="0" applyFill="0" applyBorder="0" applyAlignment="0" applyProtection="0"/>
    <xf numFmtId="0" fontId="13" fillId="0" borderId="0"/>
    <xf numFmtId="43" fontId="46" fillId="0" borderId="0" applyFont="0" applyFill="0" applyBorder="0" applyAlignment="0" applyProtection="0"/>
    <xf numFmtId="44" fontId="46" fillId="0" borderId="0" applyFont="0" applyFill="0" applyBorder="0" applyAlignment="0" applyProtection="0"/>
    <xf numFmtId="0" fontId="12" fillId="0" borderId="0"/>
    <xf numFmtId="43" fontId="12" fillId="0" borderId="0" applyFont="0" applyFill="0" applyBorder="0" applyAlignment="0" applyProtection="0"/>
    <xf numFmtId="5" fontId="17" fillId="0" borderId="0" applyFont="0" applyFill="0" applyBorder="0" applyAlignment="0" applyProtection="0"/>
    <xf numFmtId="0" fontId="11" fillId="22" borderId="151" applyNumberFormat="0" applyFont="0" applyAlignment="0" applyProtection="0"/>
    <xf numFmtId="0" fontId="10" fillId="0" borderId="0"/>
    <xf numFmtId="0" fontId="9" fillId="0" borderId="0"/>
    <xf numFmtId="43" fontId="9" fillId="0" borderId="0" applyFont="0" applyFill="0" applyBorder="0" applyAlignment="0" applyProtection="0"/>
    <xf numFmtId="0" fontId="89" fillId="0" borderId="0" applyNumberFormat="0" applyFill="0" applyBorder="0" applyAlignment="0" applyProtection="0"/>
    <xf numFmtId="0" fontId="90" fillId="0" borderId="169" applyNumberFormat="0" applyFill="0" applyAlignment="0" applyProtection="0"/>
    <xf numFmtId="0" fontId="91" fillId="0" borderId="170" applyNumberFormat="0" applyFill="0" applyAlignment="0" applyProtection="0"/>
    <xf numFmtId="0" fontId="92" fillId="0" borderId="171" applyNumberFormat="0" applyFill="0" applyAlignment="0" applyProtection="0"/>
    <xf numFmtId="0" fontId="92" fillId="0" borderId="0" applyNumberFormat="0" applyFill="0" applyBorder="0" applyAlignment="0" applyProtection="0"/>
    <xf numFmtId="0" fontId="93" fillId="24" borderId="0" applyNumberFormat="0" applyBorder="0" applyAlignment="0" applyProtection="0"/>
    <xf numFmtId="0" fontId="94" fillId="25" borderId="0" applyNumberFormat="0" applyBorder="0" applyAlignment="0" applyProtection="0"/>
    <xf numFmtId="0" fontId="95" fillId="26" borderId="0" applyNumberFormat="0" applyBorder="0" applyAlignment="0" applyProtection="0"/>
    <xf numFmtId="0" fontId="96" fillId="27" borderId="172" applyNumberFormat="0" applyAlignment="0" applyProtection="0"/>
    <xf numFmtId="0" fontId="97" fillId="28" borderId="173" applyNumberFormat="0" applyAlignment="0" applyProtection="0"/>
    <xf numFmtId="0" fontId="98" fillId="28" borderId="172" applyNumberFormat="0" applyAlignment="0" applyProtection="0"/>
    <xf numFmtId="0" fontId="99" fillId="0" borderId="174" applyNumberFormat="0" applyFill="0" applyAlignment="0" applyProtection="0"/>
    <xf numFmtId="0" fontId="100" fillId="29" borderId="175" applyNumberFormat="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34" fillId="0" borderId="176" applyNumberFormat="0" applyFill="0" applyAlignment="0" applyProtection="0"/>
    <xf numFmtId="0" fontId="103"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103" fillId="37" borderId="0" applyNumberFormat="0" applyBorder="0" applyAlignment="0" applyProtection="0"/>
    <xf numFmtId="0" fontId="103" fillId="38"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103" fillId="41" borderId="0" applyNumberFormat="0" applyBorder="0" applyAlignment="0" applyProtection="0"/>
    <xf numFmtId="0" fontId="103" fillId="42"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103" fillId="45" borderId="0" applyNumberFormat="0" applyBorder="0" applyAlignment="0" applyProtection="0"/>
    <xf numFmtId="0" fontId="103" fillId="46"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103" fillId="49" borderId="0" applyNumberFormat="0" applyBorder="0" applyAlignment="0" applyProtection="0"/>
    <xf numFmtId="0" fontId="103" fillId="50"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103" fillId="53" borderId="0" applyNumberFormat="0" applyBorder="0" applyAlignment="0" applyProtection="0"/>
    <xf numFmtId="0" fontId="8" fillId="0" borderId="0"/>
    <xf numFmtId="43" fontId="8" fillId="0" borderId="0" applyFont="0" applyFill="0" applyBorder="0" applyAlignment="0" applyProtection="0"/>
    <xf numFmtId="0" fontId="8" fillId="22" borderId="151" applyNumberFormat="0" applyFont="0" applyAlignment="0" applyProtection="0"/>
    <xf numFmtId="9" fontId="8" fillId="0" borderId="0" applyFont="0" applyFill="0" applyBorder="0" applyAlignment="0" applyProtection="0"/>
    <xf numFmtId="0" fontId="8" fillId="0" borderId="0"/>
    <xf numFmtId="9"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22" borderId="151"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7" fillId="22" borderId="151" applyNumberFormat="0" applyFont="0" applyAlignment="0" applyProtection="0"/>
    <xf numFmtId="0" fontId="7" fillId="31" borderId="0" applyNumberFormat="0" applyBorder="0" applyAlignment="0" applyProtection="0"/>
    <xf numFmtId="0" fontId="7" fillId="32"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2" borderId="151"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2" borderId="151" applyNumberFormat="0" applyFont="0" applyAlignment="0" applyProtection="0"/>
    <xf numFmtId="0" fontId="7" fillId="22" borderId="151"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6" fillId="22" borderId="151" applyNumberFormat="0" applyFont="0" applyAlignment="0" applyProtection="0"/>
    <xf numFmtId="0" fontId="6" fillId="31" borderId="0" applyNumberFormat="0" applyBorder="0" applyAlignment="0" applyProtection="0"/>
    <xf numFmtId="0" fontId="6" fillId="32"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2" borderId="151"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2" borderId="151" applyNumberFormat="0" applyFont="0" applyAlignment="0" applyProtection="0"/>
    <xf numFmtId="0" fontId="6" fillId="22" borderId="151"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7" fillId="0" borderId="0"/>
    <xf numFmtId="44" fontId="17" fillId="0" borderId="0" applyFont="0" applyFill="0" applyBorder="0" applyAlignment="0" applyProtection="0"/>
    <xf numFmtId="0" fontId="5" fillId="0" borderId="0"/>
    <xf numFmtId="43" fontId="5" fillId="0" borderId="0" applyFont="0" applyFill="0" applyBorder="0" applyAlignment="0" applyProtection="0"/>
    <xf numFmtId="0" fontId="5" fillId="22" borderId="151" applyNumberFormat="0" applyFont="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2" borderId="15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2" borderId="151" applyNumberFormat="0" applyFont="0" applyAlignment="0" applyProtection="0"/>
    <xf numFmtId="0" fontId="5" fillId="22" borderId="15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0" fontId="17"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3" fontId="46"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104" fillId="0" borderId="0" applyNumberFormat="0" applyFill="0" applyBorder="0" applyAlignment="0" applyProtection="0">
      <alignment vertical="top"/>
      <protection locked="0"/>
    </xf>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22" borderId="151" applyNumberFormat="0" applyFont="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0" borderId="0"/>
    <xf numFmtId="0" fontId="3" fillId="22" borderId="151" applyNumberFormat="0" applyFont="0" applyAlignment="0" applyProtection="0"/>
    <xf numFmtId="0" fontId="2" fillId="0" borderId="0"/>
    <xf numFmtId="0" fontId="17"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22" borderId="151" applyNumberFormat="0" applyFont="0" applyAlignment="0" applyProtection="0"/>
    <xf numFmtId="0" fontId="2" fillId="0" borderId="0"/>
    <xf numFmtId="0" fontId="2" fillId="0" borderId="0"/>
    <xf numFmtId="43" fontId="2" fillId="0" borderId="0" applyFont="0" applyFill="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43" fontId="2" fillId="0" borderId="0" applyFont="0" applyFill="0" applyBorder="0" applyAlignment="0" applyProtection="0"/>
    <xf numFmtId="0" fontId="2" fillId="22" borderId="151" applyNumberFormat="0" applyFont="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15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2" borderId="151"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15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151" applyNumberFormat="0" applyFont="0" applyAlignment="0" applyProtection="0"/>
    <xf numFmtId="0" fontId="2" fillId="22" borderId="15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2" borderId="151"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15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151" applyNumberFormat="0" applyFont="0" applyAlignment="0" applyProtection="0"/>
    <xf numFmtId="0" fontId="2" fillId="22" borderId="15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2" borderId="151"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15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151" applyNumberFormat="0" applyFont="0" applyAlignment="0" applyProtection="0"/>
    <xf numFmtId="0" fontId="2" fillId="22" borderId="15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22" borderId="151" applyNumberFormat="0" applyFont="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22" borderId="151" applyNumberFormat="0" applyFont="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0" borderId="0"/>
    <xf numFmtId="0" fontId="1" fillId="0" borderId="0"/>
    <xf numFmtId="43" fontId="1" fillId="0" borderId="0" applyFont="0" applyFill="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22" borderId="151" applyNumberFormat="0" applyFont="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22" borderId="151" applyNumberFormat="0" applyFont="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0" borderId="0"/>
    <xf numFmtId="0" fontId="1" fillId="0" borderId="0"/>
    <xf numFmtId="43" fontId="1" fillId="0" borderId="0" applyFont="0" applyFill="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22" borderId="151" applyNumberFormat="0" applyFont="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22" borderId="151" applyNumberFormat="0" applyFont="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0" borderId="0"/>
    <xf numFmtId="0" fontId="1" fillId="0" borderId="0"/>
    <xf numFmtId="43" fontId="1" fillId="0" borderId="0" applyFont="0" applyFill="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2" borderId="151"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151" applyNumberFormat="0" applyFont="0" applyAlignment="0" applyProtection="0"/>
    <xf numFmtId="0" fontId="1" fillId="22" borderId="15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7" fillId="0" borderId="0" applyNumberFormat="0" applyFill="0" applyBorder="0" applyAlignment="0" applyProtection="0"/>
    <xf numFmtId="0" fontId="120" fillId="0" borderId="0" applyNumberFormat="0" applyFill="0" applyBorder="0" applyAlignment="0" applyProtection="0"/>
  </cellStyleXfs>
  <cellXfs count="1428">
    <xf numFmtId="0" fontId="0" fillId="0" borderId="0" xfId="0"/>
    <xf numFmtId="0" fontId="22" fillId="0" borderId="0" xfId="0" applyFont="1"/>
    <xf numFmtId="0" fontId="23" fillId="0" borderId="0" xfId="0" applyFont="1"/>
    <xf numFmtId="0" fontId="24" fillId="0" borderId="0" xfId="0" applyFont="1"/>
    <xf numFmtId="0" fontId="25" fillId="0" borderId="0" xfId="0" applyFont="1"/>
    <xf numFmtId="0" fontId="23" fillId="0" borderId="0" xfId="0" applyFont="1" applyBorder="1"/>
    <xf numFmtId="165" fontId="23" fillId="0" borderId="0" xfId="1" applyNumberFormat="1" applyFont="1" applyBorder="1"/>
    <xf numFmtId="165" fontId="23" fillId="0" borderId="0" xfId="0" applyNumberFormat="1" applyFont="1"/>
    <xf numFmtId="165" fontId="23" fillId="0" borderId="16" xfId="1" applyNumberFormat="1" applyFont="1" applyBorder="1"/>
    <xf numFmtId="0" fontId="0" fillId="0" borderId="0" xfId="0" applyBorder="1"/>
    <xf numFmtId="17" fontId="0" fillId="0" borderId="0" xfId="0" applyNumberFormat="1"/>
    <xf numFmtId="167" fontId="17" fillId="0" borderId="0" xfId="6" applyNumberFormat="1"/>
    <xf numFmtId="10" fontId="17" fillId="0" borderId="0" xfId="6" applyNumberFormat="1"/>
    <xf numFmtId="167" fontId="0" fillId="0" borderId="0" xfId="0" applyNumberFormat="1"/>
    <xf numFmtId="167" fontId="21" fillId="0" borderId="12" xfId="0" applyNumberFormat="1" applyFont="1" applyBorder="1"/>
    <xf numFmtId="0" fontId="23" fillId="0" borderId="9" xfId="0" applyFont="1" applyBorder="1"/>
    <xf numFmtId="43" fontId="23" fillId="0" borderId="0" xfId="0" applyNumberFormat="1" applyFont="1"/>
    <xf numFmtId="43" fontId="23" fillId="0" borderId="0" xfId="1" applyFont="1"/>
    <xf numFmtId="0" fontId="17" fillId="0" borderId="0" xfId="0" applyFont="1"/>
    <xf numFmtId="0" fontId="31" fillId="0" borderId="0" xfId="0" applyFont="1" applyFill="1" applyAlignment="1">
      <alignment horizontal="center"/>
    </xf>
    <xf numFmtId="41" fontId="23" fillId="0" borderId="0" xfId="0" applyNumberFormat="1" applyFont="1"/>
    <xf numFmtId="0" fontId="24" fillId="0" borderId="0" xfId="0" applyFont="1" applyFill="1" applyAlignment="1">
      <alignment horizontal="center"/>
    </xf>
    <xf numFmtId="0" fontId="23" fillId="0" borderId="0" xfId="0" applyFont="1" applyFill="1" applyAlignment="1">
      <alignment horizontal="center"/>
    </xf>
    <xf numFmtId="9" fontId="23" fillId="0" borderId="0" xfId="0" applyNumberFormat="1" applyFont="1"/>
    <xf numFmtId="9" fontId="23" fillId="0" borderId="0" xfId="1" applyNumberFormat="1" applyFont="1" applyBorder="1" applyAlignment="1">
      <alignment horizontal="left" indent="1"/>
    </xf>
    <xf numFmtId="41" fontId="23" fillId="0" borderId="0" xfId="1" applyNumberFormat="1" applyFont="1" applyBorder="1" applyAlignment="1">
      <alignment horizontal="left" indent="1"/>
    </xf>
    <xf numFmtId="165" fontId="23" fillId="0" borderId="0" xfId="1" applyNumberFormat="1" applyFont="1" applyBorder="1" applyAlignment="1">
      <alignment horizontal="left" indent="1"/>
    </xf>
    <xf numFmtId="165" fontId="23" fillId="0" borderId="0" xfId="1" applyNumberFormat="1" applyFont="1"/>
    <xf numFmtId="0" fontId="33" fillId="0" borderId="0" xfId="0" applyFont="1" applyBorder="1"/>
    <xf numFmtId="0" fontId="34" fillId="0" borderId="0" xfId="0" applyFont="1"/>
    <xf numFmtId="9" fontId="16" fillId="0" borderId="0" xfId="6" applyFont="1"/>
    <xf numFmtId="0" fontId="0" fillId="0" borderId="0" xfId="0" applyAlignment="1">
      <alignment horizontal="center"/>
    </xf>
    <xf numFmtId="0" fontId="36" fillId="0" borderId="42" xfId="0" applyFont="1" applyBorder="1" applyAlignment="1">
      <alignment wrapText="1"/>
    </xf>
    <xf numFmtId="0" fontId="37" fillId="8" borderId="42" xfId="0" applyFont="1" applyFill="1" applyBorder="1" applyAlignment="1">
      <alignment horizontal="center" vertical="center" wrapText="1"/>
    </xf>
    <xf numFmtId="0" fontId="37" fillId="8" borderId="44" xfId="0" applyFont="1" applyFill="1" applyBorder="1" applyAlignment="1">
      <alignment horizontal="center" vertical="center" wrapText="1"/>
    </xf>
    <xf numFmtId="0" fontId="36" fillId="0" borderId="45" xfId="0" applyFont="1" applyBorder="1" applyAlignment="1">
      <alignment wrapText="1"/>
    </xf>
    <xf numFmtId="0" fontId="37" fillId="8" borderId="43" xfId="0" applyFont="1" applyFill="1" applyBorder="1" applyAlignment="1">
      <alignment horizontal="center" vertical="center" wrapText="1"/>
    </xf>
    <xf numFmtId="167" fontId="0" fillId="0" borderId="0" xfId="6" applyNumberFormat="1" applyFont="1"/>
    <xf numFmtId="167" fontId="36" fillId="0" borderId="42" xfId="6" applyNumberFormat="1" applyFont="1" applyBorder="1" applyAlignment="1">
      <alignment wrapText="1"/>
    </xf>
    <xf numFmtId="167" fontId="36" fillId="0" borderId="45" xfId="6" applyNumberFormat="1" applyFont="1" applyBorder="1" applyAlignment="1">
      <alignment wrapText="1"/>
    </xf>
    <xf numFmtId="0" fontId="0" fillId="5" borderId="0" xfId="0" applyFill="1"/>
    <xf numFmtId="0" fontId="19" fillId="0" borderId="0" xfId="7" applyFont="1"/>
    <xf numFmtId="0" fontId="38" fillId="0" borderId="0" xfId="7" applyFont="1" applyAlignment="1">
      <alignment horizontal="left" indent="2"/>
    </xf>
    <xf numFmtId="0" fontId="17" fillId="0" borderId="0" xfId="7"/>
    <xf numFmtId="0" fontId="20" fillId="0" borderId="0" xfId="7" applyFont="1"/>
    <xf numFmtId="0" fontId="39" fillId="0" borderId="0" xfId="7" applyFont="1" applyAlignment="1">
      <alignment horizontal="left" indent="2"/>
    </xf>
    <xf numFmtId="165" fontId="17" fillId="0" borderId="0" xfId="1" applyNumberFormat="1" applyFont="1"/>
    <xf numFmtId="0" fontId="40" fillId="9" borderId="49" xfId="7" applyFont="1" applyFill="1" applyBorder="1" applyAlignment="1">
      <alignment horizontal="center"/>
    </xf>
    <xf numFmtId="0" fontId="41" fillId="9" borderId="50" xfId="7" applyFont="1" applyFill="1" applyBorder="1" applyAlignment="1">
      <alignment horizontal="center"/>
    </xf>
    <xf numFmtId="165" fontId="42" fillId="9" borderId="52" xfId="1" applyNumberFormat="1" applyFont="1" applyFill="1" applyBorder="1" applyAlignment="1">
      <alignment horizontal="center" wrapText="1"/>
    </xf>
    <xf numFmtId="165" fontId="42" fillId="9" borderId="50" xfId="1" applyNumberFormat="1" applyFont="1" applyFill="1" applyBorder="1" applyAlignment="1">
      <alignment horizontal="center" wrapText="1"/>
    </xf>
    <xf numFmtId="0" fontId="42" fillId="9" borderId="50" xfId="7" applyFont="1" applyFill="1" applyBorder="1" applyAlignment="1">
      <alignment horizontal="center"/>
    </xf>
    <xf numFmtId="0" fontId="21" fillId="2" borderId="49" xfId="7" applyFont="1" applyFill="1" applyBorder="1" applyAlignment="1">
      <alignment horizontal="center"/>
    </xf>
    <xf numFmtId="0" fontId="21" fillId="2" borderId="51" xfId="7" applyFont="1" applyFill="1" applyBorder="1" applyAlignment="1">
      <alignment horizontal="center"/>
    </xf>
    <xf numFmtId="0" fontId="17" fillId="0" borderId="0" xfId="7" applyAlignment="1">
      <alignment wrapText="1"/>
    </xf>
    <xf numFmtId="0" fontId="17" fillId="0" borderId="14" xfId="7" applyBorder="1" applyAlignment="1">
      <alignment horizontal="left" indent="1"/>
    </xf>
    <xf numFmtId="165" fontId="17" fillId="0" borderId="54" xfId="1" applyNumberFormat="1" applyFont="1" applyBorder="1"/>
    <xf numFmtId="165" fontId="17" fillId="0" borderId="0" xfId="1" applyNumberFormat="1" applyFont="1" applyBorder="1"/>
    <xf numFmtId="166" fontId="17" fillId="0" borderId="14" xfId="8" applyNumberFormat="1" applyBorder="1"/>
    <xf numFmtId="166" fontId="17" fillId="0" borderId="55" xfId="8" applyNumberFormat="1" applyBorder="1"/>
    <xf numFmtId="166" fontId="17" fillId="0" borderId="56" xfId="8" applyNumberFormat="1" applyBorder="1"/>
    <xf numFmtId="0" fontId="17" fillId="0" borderId="0" xfId="7" applyBorder="1" applyAlignment="1">
      <alignment horizontal="left" indent="1"/>
    </xf>
    <xf numFmtId="165" fontId="17" fillId="0" borderId="16" xfId="1" applyNumberFormat="1" applyFont="1" applyBorder="1"/>
    <xf numFmtId="165" fontId="17" fillId="0" borderId="0" xfId="1" applyNumberFormat="1" applyBorder="1"/>
    <xf numFmtId="165" fontId="17" fillId="0" borderId="9" xfId="1" applyNumberFormat="1" applyBorder="1"/>
    <xf numFmtId="165" fontId="17" fillId="0" borderId="10" xfId="1" applyNumberFormat="1" applyBorder="1"/>
    <xf numFmtId="0" fontId="41" fillId="9" borderId="58" xfId="7" applyFont="1" applyFill="1" applyBorder="1" applyAlignment="1">
      <alignment horizontal="center" vertical="center" textRotation="90"/>
    </xf>
    <xf numFmtId="0" fontId="21" fillId="4" borderId="21" xfId="7" applyFont="1" applyFill="1" applyBorder="1" applyAlignment="1">
      <alignment horizontal="left" indent="1"/>
    </xf>
    <xf numFmtId="165" fontId="21" fillId="4" borderId="20" xfId="1" applyNumberFormat="1" applyFont="1" applyFill="1" applyBorder="1"/>
    <xf numFmtId="165" fontId="21" fillId="4" borderId="4" xfId="1" applyNumberFormat="1" applyFont="1" applyFill="1" applyBorder="1"/>
    <xf numFmtId="166" fontId="21" fillId="4" borderId="21" xfId="8" applyNumberFormat="1" applyFont="1" applyFill="1" applyBorder="1"/>
    <xf numFmtId="166" fontId="21" fillId="4" borderId="4" xfId="8" applyNumberFormat="1" applyFont="1" applyFill="1" applyBorder="1"/>
    <xf numFmtId="166" fontId="21" fillId="4" borderId="59" xfId="8" applyNumberFormat="1" applyFont="1" applyFill="1" applyBorder="1"/>
    <xf numFmtId="166" fontId="21" fillId="4" borderId="60" xfId="8" applyNumberFormat="1" applyFont="1" applyFill="1" applyBorder="1"/>
    <xf numFmtId="43" fontId="17" fillId="0" borderId="0" xfId="1"/>
    <xf numFmtId="0" fontId="17" fillId="3" borderId="14" xfId="7" applyFill="1" applyBorder="1"/>
    <xf numFmtId="171" fontId="17" fillId="3" borderId="54" xfId="8" applyNumberFormat="1" applyFill="1" applyBorder="1"/>
    <xf numFmtId="0" fontId="17" fillId="0" borderId="0" xfId="7" applyBorder="1"/>
    <xf numFmtId="167" fontId="17" fillId="3" borderId="16" xfId="6" applyNumberFormat="1" applyFill="1" applyBorder="1"/>
    <xf numFmtId="0" fontId="45" fillId="4" borderId="5" xfId="7" applyFont="1" applyFill="1" applyBorder="1"/>
    <xf numFmtId="165" fontId="45" fillId="4" borderId="13" xfId="1" applyNumberFormat="1" applyFont="1" applyFill="1" applyBorder="1"/>
    <xf numFmtId="0" fontId="17" fillId="3" borderId="15" xfId="7" applyFill="1" applyBorder="1"/>
    <xf numFmtId="0" fontId="17" fillId="3" borderId="0" xfId="7" applyFill="1" applyBorder="1"/>
    <xf numFmtId="8" fontId="17" fillId="0" borderId="0" xfId="7" applyNumberFormat="1"/>
    <xf numFmtId="0" fontId="17" fillId="3" borderId="3" xfId="7" applyFill="1" applyBorder="1"/>
    <xf numFmtId="10" fontId="17" fillId="3" borderId="17" xfId="8" applyNumberFormat="1" applyFill="1" applyBorder="1"/>
    <xf numFmtId="0" fontId="17" fillId="0" borderId="20" xfId="7" applyBorder="1"/>
    <xf numFmtId="0" fontId="42" fillId="9" borderId="62" xfId="7" applyFont="1" applyFill="1" applyBorder="1" applyAlignment="1">
      <alignment horizontal="center"/>
    </xf>
    <xf numFmtId="0" fontId="42" fillId="9" borderId="1" xfId="7" applyFont="1" applyFill="1" applyBorder="1" applyAlignment="1">
      <alignment horizontal="center"/>
    </xf>
    <xf numFmtId="166" fontId="17" fillId="0" borderId="0" xfId="8" applyNumberFormat="1" applyBorder="1"/>
    <xf numFmtId="166" fontId="17" fillId="0" borderId="19" xfId="8" applyNumberFormat="1" applyBorder="1"/>
    <xf numFmtId="166" fontId="17" fillId="0" borderId="18" xfId="8" applyNumberFormat="1" applyBorder="1"/>
    <xf numFmtId="0" fontId="18" fillId="0" borderId="0" xfId="7" applyFont="1" applyBorder="1"/>
    <xf numFmtId="0" fontId="18" fillId="0" borderId="0" xfId="7" applyFont="1" applyFill="1" applyBorder="1" applyAlignment="1">
      <alignment horizontal="left" vertical="center"/>
    </xf>
    <xf numFmtId="0" fontId="17" fillId="0" borderId="3" xfId="7" applyBorder="1"/>
    <xf numFmtId="165" fontId="17" fillId="0" borderId="3" xfId="1" applyNumberFormat="1" applyFont="1" applyBorder="1"/>
    <xf numFmtId="0" fontId="17" fillId="3" borderId="19" xfId="7" applyFill="1" applyBorder="1" applyAlignment="1"/>
    <xf numFmtId="0" fontId="17" fillId="3" borderId="14" xfId="7" applyFill="1" applyBorder="1" applyAlignment="1"/>
    <xf numFmtId="0" fontId="17" fillId="3" borderId="18" xfId="7" applyFill="1" applyBorder="1" applyAlignment="1"/>
    <xf numFmtId="0" fontId="17" fillId="3" borderId="3" xfId="7" applyFill="1" applyBorder="1" applyAlignment="1"/>
    <xf numFmtId="0" fontId="42" fillId="9" borderId="50" xfId="1" applyNumberFormat="1" applyFont="1" applyFill="1" applyBorder="1" applyAlignment="1">
      <alignment horizontal="center" wrapText="1"/>
    </xf>
    <xf numFmtId="164" fontId="17" fillId="0" borderId="0" xfId="1" applyNumberFormat="1" applyFont="1" applyBorder="1"/>
    <xf numFmtId="9" fontId="17" fillId="3" borderId="16" xfId="6" applyFill="1" applyBorder="1"/>
    <xf numFmtId="44" fontId="45" fillId="4" borderId="6" xfId="8" applyFont="1" applyFill="1" applyBorder="1" applyAlignment="1"/>
    <xf numFmtId="0" fontId="36" fillId="0" borderId="0" xfId="7" applyFont="1"/>
    <xf numFmtId="0" fontId="49" fillId="0" borderId="0" xfId="7" applyFont="1"/>
    <xf numFmtId="0" fontId="50" fillId="0" borderId="0" xfId="7" applyFont="1" applyAlignment="1">
      <alignment vertical="center" wrapText="1"/>
    </xf>
    <xf numFmtId="0" fontId="51" fillId="0" borderId="21" xfId="7" applyFont="1" applyBorder="1" applyAlignment="1">
      <alignment horizontal="center" wrapText="1"/>
    </xf>
    <xf numFmtId="0" fontId="52" fillId="0" borderId="0" xfId="7" applyFont="1" applyAlignment="1">
      <alignment horizontal="center" wrapText="1"/>
    </xf>
    <xf numFmtId="0" fontId="51" fillId="0" borderId="11" xfId="7" applyFont="1" applyBorder="1" applyAlignment="1">
      <alignment horizontal="center" wrapText="1"/>
    </xf>
    <xf numFmtId="172" fontId="51" fillId="0" borderId="0" xfId="7" applyNumberFormat="1" applyFont="1"/>
    <xf numFmtId="3" fontId="18" fillId="0" borderId="0" xfId="7" applyNumberFormat="1" applyFont="1" applyAlignment="1">
      <alignment horizontal="right"/>
    </xf>
    <xf numFmtId="173" fontId="18" fillId="0" borderId="0" xfId="7" applyNumberFormat="1" applyFont="1" applyAlignment="1">
      <alignment horizontal="right"/>
    </xf>
    <xf numFmtId="0" fontId="49" fillId="0" borderId="0" xfId="7" applyFont="1" applyAlignment="1">
      <alignment horizontal="right" wrapText="1"/>
    </xf>
    <xf numFmtId="0" fontId="18" fillId="0" borderId="0" xfId="7" applyFont="1"/>
    <xf numFmtId="0" fontId="51" fillId="0" borderId="0" xfId="7" applyFont="1"/>
    <xf numFmtId="3" fontId="49" fillId="0" borderId="0" xfId="7" applyNumberFormat="1" applyFont="1" applyAlignment="1">
      <alignment horizontal="right"/>
    </xf>
    <xf numFmtId="3" fontId="49" fillId="0" borderId="0" xfId="7" applyNumberFormat="1" applyFont="1"/>
    <xf numFmtId="172" fontId="18" fillId="0" borderId="0" xfId="7" applyNumberFormat="1" applyFont="1"/>
    <xf numFmtId="0" fontId="18" fillId="0" borderId="0" xfId="7" applyFont="1" applyAlignment="1">
      <alignment horizontal="right"/>
    </xf>
    <xf numFmtId="0" fontId="17" fillId="0" borderId="0" xfId="7" applyBorder="1" applyAlignment="1">
      <alignment wrapText="1"/>
    </xf>
    <xf numFmtId="0" fontId="17" fillId="3" borderId="15" xfId="7" applyFill="1" applyBorder="1" applyAlignment="1"/>
    <xf numFmtId="0" fontId="17" fillId="3" borderId="0" xfId="7" applyFill="1" applyBorder="1" applyAlignment="1"/>
    <xf numFmtId="171" fontId="17" fillId="3" borderId="16" xfId="8" applyNumberFormat="1" applyFill="1" applyBorder="1"/>
    <xf numFmtId="0" fontId="45" fillId="0" borderId="0" xfId="7" applyFont="1" applyFill="1" applyBorder="1"/>
    <xf numFmtId="165" fontId="45" fillId="0" borderId="0" xfId="1" applyNumberFormat="1" applyFont="1" applyFill="1" applyBorder="1"/>
    <xf numFmtId="44" fontId="45" fillId="0" borderId="0" xfId="8" applyFont="1" applyFill="1" applyBorder="1" applyAlignment="1"/>
    <xf numFmtId="3" fontId="18" fillId="0" borderId="0" xfId="7" applyNumberFormat="1" applyFont="1" applyAlignment="1">
      <alignment horizontal="right" wrapText="1"/>
    </xf>
    <xf numFmtId="173" fontId="18" fillId="0" borderId="0" xfId="7" applyNumberFormat="1" applyFont="1" applyAlignment="1">
      <alignment horizontal="right" wrapText="1"/>
    </xf>
    <xf numFmtId="0" fontId="49" fillId="0" borderId="0" xfId="7" applyFont="1" applyAlignment="1">
      <alignment horizontal="left" wrapText="1"/>
    </xf>
    <xf numFmtId="0" fontId="51" fillId="0" borderId="0" xfId="7" applyFont="1" applyAlignment="1">
      <alignment horizontal="right" wrapText="1"/>
    </xf>
    <xf numFmtId="173" fontId="51" fillId="0" borderId="0" xfId="7" applyNumberFormat="1" applyFont="1" applyAlignment="1">
      <alignment horizontal="right" wrapText="1"/>
    </xf>
    <xf numFmtId="0" fontId="17" fillId="0" borderId="0" xfId="7" applyBorder="1" applyAlignment="1"/>
    <xf numFmtId="43" fontId="49" fillId="0" borderId="0" xfId="1" applyFont="1" applyAlignment="1">
      <alignment horizontal="right"/>
    </xf>
    <xf numFmtId="43" fontId="49" fillId="0" borderId="0" xfId="1" applyNumberFormat="1" applyFont="1" applyAlignment="1">
      <alignment horizontal="right"/>
    </xf>
    <xf numFmtId="49" fontId="18" fillId="0" borderId="0" xfId="7" applyNumberFormat="1" applyFont="1" applyBorder="1"/>
    <xf numFmtId="49" fontId="18" fillId="0" borderId="3" xfId="7" applyNumberFormat="1" applyFont="1" applyBorder="1"/>
    <xf numFmtId="2" fontId="51" fillId="0" borderId="21" xfId="7" applyNumberFormat="1" applyFont="1" applyBorder="1" applyAlignment="1">
      <alignment horizontal="center" vertical="center"/>
    </xf>
    <xf numFmtId="2" fontId="51" fillId="0" borderId="11" xfId="7" applyNumberFormat="1" applyFont="1" applyBorder="1" applyAlignment="1">
      <alignment horizontal="center" vertical="center"/>
    </xf>
    <xf numFmtId="173" fontId="18" fillId="0" borderId="0" xfId="7" applyNumberFormat="1" applyFont="1" applyBorder="1" applyAlignment="1">
      <alignment horizontal="right" indent="2"/>
    </xf>
    <xf numFmtId="2" fontId="18" fillId="0" borderId="0" xfId="7" applyNumberFormat="1" applyFont="1" applyAlignment="1">
      <alignment horizontal="right" indent="2"/>
    </xf>
    <xf numFmtId="2" fontId="18" fillId="0" borderId="0" xfId="7" applyNumberFormat="1" applyFont="1" applyAlignment="1">
      <alignment horizontal="right"/>
    </xf>
    <xf numFmtId="0" fontId="51" fillId="0" borderId="0" xfId="7" applyNumberFormat="1" applyFont="1"/>
    <xf numFmtId="172" fontId="18" fillId="0" borderId="0" xfId="7" applyNumberFormat="1" applyFont="1" applyAlignment="1">
      <alignment horizontal="left" indent="1"/>
    </xf>
    <xf numFmtId="172" fontId="18" fillId="0" borderId="0" xfId="7" applyNumberFormat="1" applyFont="1" applyAlignment="1">
      <alignment horizontal="left" indent="2"/>
    </xf>
    <xf numFmtId="0" fontId="51" fillId="0" borderId="0" xfId="7" applyNumberFormat="1" applyFont="1" applyAlignment="1">
      <alignment horizontal="left"/>
    </xf>
    <xf numFmtId="49" fontId="51" fillId="0" borderId="0" xfId="7" applyNumberFormat="1" applyFont="1"/>
    <xf numFmtId="49" fontId="18" fillId="0" borderId="0" xfId="7" applyNumberFormat="1" applyFont="1" applyAlignment="1">
      <alignment horizontal="left" indent="1"/>
    </xf>
    <xf numFmtId="0" fontId="18" fillId="0" borderId="0" xfId="7" applyNumberFormat="1" applyFont="1" applyAlignment="1">
      <alignment horizontal="left" indent="1"/>
    </xf>
    <xf numFmtId="0" fontId="51" fillId="0" borderId="0" xfId="7" applyNumberFormat="1" applyFont="1" applyAlignment="1"/>
    <xf numFmtId="172" fontId="51" fillId="0" borderId="0" xfId="7" applyNumberFormat="1" applyFont="1" applyAlignment="1">
      <alignment horizontal="left" indent="1"/>
    </xf>
    <xf numFmtId="173" fontId="18" fillId="0" borderId="0" xfId="7" applyNumberFormat="1" applyFont="1" applyBorder="1" applyAlignment="1">
      <alignment horizontal="right"/>
    </xf>
    <xf numFmtId="2" fontId="18" fillId="0" borderId="0" xfId="7" applyNumberFormat="1" applyFont="1" applyBorder="1" applyAlignment="1">
      <alignment horizontal="right"/>
    </xf>
    <xf numFmtId="173" fontId="18" fillId="0" borderId="0" xfId="7" applyNumberFormat="1" applyFont="1" applyAlignment="1">
      <alignment horizontal="right" indent="2"/>
    </xf>
    <xf numFmtId="49" fontId="18" fillId="0" borderId="0" xfId="7" applyNumberFormat="1" applyFont="1" applyAlignment="1">
      <alignment vertical="top" wrapText="1"/>
    </xf>
    <xf numFmtId="173" fontId="18" fillId="0" borderId="0" xfId="7" applyNumberFormat="1" applyFont="1" applyAlignment="1">
      <alignment vertical="top" wrapText="1"/>
    </xf>
    <xf numFmtId="2" fontId="18" fillId="0" borderId="0" xfId="7" applyNumberFormat="1" applyFont="1" applyAlignment="1">
      <alignment vertical="top" wrapText="1"/>
    </xf>
    <xf numFmtId="173" fontId="17" fillId="0" borderId="0" xfId="7" applyNumberFormat="1"/>
    <xf numFmtId="0" fontId="21" fillId="0" borderId="0" xfId="7" applyFont="1"/>
    <xf numFmtId="0" fontId="49" fillId="0" borderId="3" xfId="7" applyFont="1" applyBorder="1"/>
    <xf numFmtId="173" fontId="49" fillId="0" borderId="3" xfId="7" applyNumberFormat="1" applyFont="1" applyBorder="1"/>
    <xf numFmtId="173" fontId="18" fillId="0" borderId="46" xfId="7" applyNumberFormat="1" applyFont="1" applyBorder="1"/>
    <xf numFmtId="0" fontId="18" fillId="0" borderId="0" xfId="7" applyFont="1" applyAlignment="1">
      <alignment horizontal="center"/>
    </xf>
    <xf numFmtId="0" fontId="18" fillId="0" borderId="0" xfId="7" applyNumberFormat="1" applyFont="1"/>
    <xf numFmtId="2" fontId="18" fillId="0" borderId="0" xfId="7" applyNumberFormat="1" applyFont="1" applyAlignment="1"/>
    <xf numFmtId="2" fontId="18" fillId="0" borderId="0" xfId="7" applyNumberFormat="1" applyFont="1"/>
    <xf numFmtId="173" fontId="18" fillId="0" borderId="0" xfId="7" applyNumberFormat="1" applyFont="1"/>
    <xf numFmtId="0" fontId="18" fillId="0" borderId="0" xfId="7" applyFont="1" applyAlignment="1">
      <alignment horizontal="left"/>
    </xf>
    <xf numFmtId="43" fontId="18" fillId="0" borderId="0" xfId="1" applyFont="1"/>
    <xf numFmtId="43" fontId="17" fillId="0" borderId="14" xfId="1" applyNumberFormat="1" applyFont="1" applyBorder="1"/>
    <xf numFmtId="0" fontId="17" fillId="0" borderId="4" xfId="7" applyBorder="1"/>
    <xf numFmtId="165" fontId="17" fillId="0" borderId="4" xfId="1" applyNumberFormat="1" applyFont="1" applyBorder="1"/>
    <xf numFmtId="0" fontId="17" fillId="5" borderId="4" xfId="7" applyFill="1" applyBorder="1"/>
    <xf numFmtId="165" fontId="17" fillId="5" borderId="4" xfId="1" applyNumberFormat="1" applyFont="1" applyFill="1" applyBorder="1"/>
    <xf numFmtId="43" fontId="17" fillId="0" borderId="0" xfId="1" applyFont="1"/>
    <xf numFmtId="43" fontId="17" fillId="0" borderId="0" xfId="1" applyNumberFormat="1" applyFont="1"/>
    <xf numFmtId="43" fontId="17" fillId="0" borderId="0" xfId="1" applyNumberFormat="1"/>
    <xf numFmtId="0" fontId="17" fillId="5" borderId="0" xfId="7" applyFill="1"/>
    <xf numFmtId="165" fontId="17" fillId="5" borderId="0" xfId="1" applyNumberFormat="1" applyFont="1" applyFill="1"/>
    <xf numFmtId="0" fontId="17" fillId="5" borderId="0" xfId="0" applyFont="1" applyFill="1"/>
    <xf numFmtId="43" fontId="17" fillId="0" borderId="0" xfId="7" applyNumberFormat="1"/>
    <xf numFmtId="174" fontId="17" fillId="0" borderId="0" xfId="7" applyNumberFormat="1"/>
    <xf numFmtId="165" fontId="49" fillId="0" borderId="0" xfId="1" applyNumberFormat="1" applyFont="1"/>
    <xf numFmtId="43" fontId="49" fillId="0" borderId="0" xfId="7" applyNumberFormat="1" applyFont="1"/>
    <xf numFmtId="166" fontId="21" fillId="4" borderId="18" xfId="8" applyNumberFormat="1" applyFont="1" applyFill="1" applyBorder="1"/>
    <xf numFmtId="166" fontId="21" fillId="4" borderId="3" xfId="8" applyNumberFormat="1" applyFont="1" applyFill="1" applyBorder="1"/>
    <xf numFmtId="43" fontId="18" fillId="0" borderId="0" xfId="7" applyNumberFormat="1" applyFont="1"/>
    <xf numFmtId="0" fontId="0" fillId="0" borderId="35" xfId="0" applyBorder="1"/>
    <xf numFmtId="0" fontId="34" fillId="0" borderId="33" xfId="0" applyFont="1" applyBorder="1"/>
    <xf numFmtId="0" fontId="0" fillId="0" borderId="33" xfId="0" applyBorder="1" applyAlignment="1">
      <alignment horizontal="center"/>
    </xf>
    <xf numFmtId="9" fontId="16" fillId="0" borderId="33" xfId="6" applyFont="1" applyBorder="1"/>
    <xf numFmtId="0" fontId="0" fillId="0" borderId="33" xfId="0" applyBorder="1"/>
    <xf numFmtId="0" fontId="0" fillId="0" borderId="36" xfId="0" applyBorder="1"/>
    <xf numFmtId="0" fontId="57" fillId="0" borderId="29" xfId="0" applyFont="1" applyBorder="1"/>
    <xf numFmtId="0" fontId="34" fillId="0" borderId="0" xfId="0" applyFont="1" applyBorder="1"/>
    <xf numFmtId="0" fontId="0" fillId="0" borderId="0" xfId="0" applyBorder="1" applyAlignment="1">
      <alignment horizontal="center"/>
    </xf>
    <xf numFmtId="9" fontId="16" fillId="0" borderId="0" xfId="6" applyFont="1" applyBorder="1"/>
    <xf numFmtId="0" fontId="0" fillId="0" borderId="34" xfId="0" applyBorder="1"/>
    <xf numFmtId="0" fontId="57" fillId="0" borderId="30" xfId="0" applyFont="1" applyBorder="1"/>
    <xf numFmtId="0" fontId="34" fillId="0" borderId="31" xfId="0" applyFont="1" applyBorder="1"/>
    <xf numFmtId="0" fontId="0" fillId="0" borderId="31" xfId="0" applyBorder="1" applyAlignment="1">
      <alignment horizontal="center"/>
    </xf>
    <xf numFmtId="9" fontId="16" fillId="0" borderId="31" xfId="6" applyFont="1" applyBorder="1"/>
    <xf numFmtId="0" fontId="0" fillId="0" borderId="31" xfId="0" applyBorder="1"/>
    <xf numFmtId="0" fontId="0" fillId="0" borderId="32" xfId="0" applyBorder="1"/>
    <xf numFmtId="0" fontId="56" fillId="10" borderId="23" xfId="0" applyFont="1" applyFill="1" applyBorder="1" applyAlignment="1">
      <alignment horizontal="center" vertical="center" wrapText="1"/>
    </xf>
    <xf numFmtId="0" fontId="57" fillId="11" borderId="23" xfId="0" applyFont="1" applyFill="1" applyBorder="1" applyAlignment="1">
      <alignment wrapText="1"/>
    </xf>
    <xf numFmtId="0" fontId="57" fillId="12" borderId="23" xfId="0" applyFont="1" applyFill="1" applyBorder="1" applyAlignment="1">
      <alignment wrapText="1"/>
    </xf>
    <xf numFmtId="0" fontId="0" fillId="0" borderId="23" xfId="0" applyBorder="1"/>
    <xf numFmtId="0" fontId="56" fillId="10" borderId="23" xfId="0" applyFont="1" applyFill="1" applyBorder="1" applyAlignment="1">
      <alignment horizontal="center" vertical="top" wrapText="1"/>
    </xf>
    <xf numFmtId="0" fontId="59" fillId="0" borderId="35" xfId="0" applyFont="1" applyBorder="1" applyAlignment="1">
      <alignment horizontal="left" vertical="top"/>
    </xf>
    <xf numFmtId="0" fontId="58" fillId="0" borderId="29" xfId="0" applyFont="1" applyBorder="1" applyAlignment="1">
      <alignment horizontal="left" vertical="top"/>
    </xf>
    <xf numFmtId="0" fontId="59" fillId="0" borderId="29" xfId="0" applyFont="1" applyBorder="1" applyAlignment="1">
      <alignment horizontal="left" vertical="top"/>
    </xf>
    <xf numFmtId="0" fontId="46" fillId="0" borderId="0" xfId="10" applyFont="1" applyAlignment="1"/>
    <xf numFmtId="0" fontId="46" fillId="0" borderId="0" xfId="10" applyFont="1"/>
    <xf numFmtId="0" fontId="46" fillId="0" borderId="0" xfId="10" applyFont="1" applyFill="1"/>
    <xf numFmtId="0" fontId="61" fillId="0" borderId="0" xfId="10" applyFont="1" applyAlignment="1">
      <alignment horizontal="center"/>
    </xf>
    <xf numFmtId="0" fontId="46" fillId="13" borderId="0" xfId="10" applyFont="1" applyFill="1" applyAlignment="1"/>
    <xf numFmtId="165" fontId="23" fillId="0" borderId="81" xfId="1" applyNumberFormat="1" applyFont="1" applyBorder="1" applyAlignment="1">
      <alignment horizontal="right"/>
    </xf>
    <xf numFmtId="0" fontId="60" fillId="0" borderId="0" xfId="0" applyFont="1"/>
    <xf numFmtId="0" fontId="32" fillId="6" borderId="85" xfId="0" applyFont="1" applyFill="1" applyBorder="1" applyAlignment="1">
      <alignment horizontal="center"/>
    </xf>
    <xf numFmtId="0" fontId="32" fillId="6" borderId="86" xfId="0" applyFont="1" applyFill="1" applyBorder="1" applyAlignment="1">
      <alignment horizontal="center"/>
    </xf>
    <xf numFmtId="0" fontId="32" fillId="6" borderId="87" xfId="0" applyFont="1" applyFill="1" applyBorder="1" applyAlignment="1">
      <alignment horizontal="center"/>
    </xf>
    <xf numFmtId="165" fontId="23" fillId="0" borderId="24" xfId="1" applyNumberFormat="1" applyFont="1" applyBorder="1" applyAlignment="1">
      <alignment horizontal="right"/>
    </xf>
    <xf numFmtId="165" fontId="23" fillId="0" borderId="80" xfId="1" applyNumberFormat="1" applyFont="1" applyBorder="1" applyAlignment="1">
      <alignment horizontal="right"/>
    </xf>
    <xf numFmtId="0" fontId="23" fillId="0" borderId="0" xfId="0" applyFont="1" applyBorder="1" applyAlignment="1">
      <alignment horizontal="left" indent="1"/>
    </xf>
    <xf numFmtId="165" fontId="23" fillId="0" borderId="0" xfId="1" applyNumberFormat="1" applyFont="1" applyBorder="1" applyAlignment="1">
      <alignment horizontal="right"/>
    </xf>
    <xf numFmtId="0" fontId="23" fillId="5" borderId="82" xfId="0" applyFont="1" applyFill="1" applyBorder="1"/>
    <xf numFmtId="0" fontId="23" fillId="5" borderId="27" xfId="0" applyFont="1" applyFill="1" applyBorder="1" applyAlignment="1">
      <alignment horizontal="center"/>
    </xf>
    <xf numFmtId="0" fontId="23" fillId="5" borderId="35" xfId="0" applyFont="1" applyFill="1" applyBorder="1" applyAlignment="1">
      <alignment horizontal="center"/>
    </xf>
    <xf numFmtId="0" fontId="23" fillId="5" borderId="82" xfId="0" applyFont="1" applyFill="1" applyBorder="1" applyAlignment="1">
      <alignment horizontal="center"/>
    </xf>
    <xf numFmtId="0" fontId="23" fillId="5" borderId="83" xfId="0" applyFont="1" applyFill="1" applyBorder="1" applyAlignment="1">
      <alignment horizontal="center"/>
    </xf>
    <xf numFmtId="165" fontId="23" fillId="0" borderId="89" xfId="1" applyNumberFormat="1" applyFont="1" applyBorder="1" applyAlignment="1">
      <alignment horizontal="right"/>
    </xf>
    <xf numFmtId="165" fontId="23" fillId="0" borderId="90" xfId="1" applyNumberFormat="1" applyFont="1" applyBorder="1" applyAlignment="1">
      <alignment horizontal="right"/>
    </xf>
    <xf numFmtId="165" fontId="23" fillId="0" borderId="91" xfId="1" applyNumberFormat="1" applyFont="1" applyBorder="1" applyAlignment="1">
      <alignment horizontal="right"/>
    </xf>
    <xf numFmtId="165" fontId="23" fillId="0" borderId="89" xfId="1" applyNumberFormat="1" applyFont="1" applyBorder="1"/>
    <xf numFmtId="165" fontId="23" fillId="0" borderId="92" xfId="1" applyNumberFormat="1" applyFont="1" applyBorder="1"/>
    <xf numFmtId="0" fontId="63" fillId="0" borderId="0" xfId="7" applyFont="1" applyAlignment="1">
      <alignment horizontal="left" indent="2"/>
    </xf>
    <xf numFmtId="0" fontId="23" fillId="0" borderId="0" xfId="7" applyFont="1"/>
    <xf numFmtId="0" fontId="62" fillId="0" borderId="0" xfId="7" applyFont="1" applyAlignment="1">
      <alignment horizontal="left" indent="2"/>
    </xf>
    <xf numFmtId="0" fontId="23" fillId="0" borderId="0" xfId="7" applyFont="1" applyAlignment="1">
      <alignment wrapText="1"/>
    </xf>
    <xf numFmtId="176" fontId="23" fillId="0" borderId="0" xfId="1" applyNumberFormat="1" applyFont="1"/>
    <xf numFmtId="0" fontId="23" fillId="0" borderId="0" xfId="7" applyFont="1" applyBorder="1"/>
    <xf numFmtId="0" fontId="23" fillId="0" borderId="20" xfId="7" applyFont="1" applyBorder="1"/>
    <xf numFmtId="0" fontId="28" fillId="4" borderId="5" xfId="7" applyFont="1" applyFill="1" applyBorder="1"/>
    <xf numFmtId="165" fontId="28" fillId="4" borderId="13" xfId="1" applyNumberFormat="1" applyFont="1" applyFill="1" applyBorder="1"/>
    <xf numFmtId="8" fontId="23" fillId="0" borderId="0" xfId="7" applyNumberFormat="1" applyFont="1"/>
    <xf numFmtId="165" fontId="23" fillId="0" borderId="3" xfId="1" applyNumberFormat="1" applyFont="1" applyBorder="1"/>
    <xf numFmtId="0" fontId="26" fillId="0" borderId="0" xfId="7" applyFont="1" applyFill="1" applyBorder="1" applyAlignment="1">
      <alignment horizontal="left" vertical="center"/>
    </xf>
    <xf numFmtId="0" fontId="26" fillId="0" borderId="0" xfId="7" applyFont="1" applyBorder="1"/>
    <xf numFmtId="164" fontId="23" fillId="0" borderId="0" xfId="1" applyNumberFormat="1" applyFont="1" applyBorder="1"/>
    <xf numFmtId="0" fontId="28" fillId="0" borderId="0" xfId="7" applyFont="1" applyFill="1" applyBorder="1"/>
    <xf numFmtId="165" fontId="28" fillId="0" borderId="0" xfId="1" applyNumberFormat="1" applyFont="1" applyFill="1" applyBorder="1"/>
    <xf numFmtId="44" fontId="28" fillId="0" borderId="0" xfId="8" applyFont="1" applyFill="1" applyBorder="1" applyAlignment="1"/>
    <xf numFmtId="0" fontId="66" fillId="0" borderId="4" xfId="7" applyFont="1" applyBorder="1"/>
    <xf numFmtId="0" fontId="23" fillId="0" borderId="0" xfId="7" applyFont="1" applyFill="1" applyBorder="1"/>
    <xf numFmtId="165" fontId="23" fillId="0" borderId="0" xfId="1" applyNumberFormat="1" applyFont="1" applyFill="1" applyBorder="1"/>
    <xf numFmtId="174" fontId="23" fillId="0" borderId="0" xfId="7" applyNumberFormat="1" applyFont="1" applyFill="1" applyBorder="1"/>
    <xf numFmtId="6" fontId="17" fillId="0" borderId="0" xfId="7" applyNumberFormat="1"/>
    <xf numFmtId="3" fontId="17" fillId="0" borderId="0" xfId="7" applyNumberFormat="1"/>
    <xf numFmtId="167" fontId="17" fillId="0" borderId="0" xfId="6" applyNumberFormat="1" applyFont="1"/>
    <xf numFmtId="167" fontId="17" fillId="0" borderId="0" xfId="1" applyNumberFormat="1" applyFont="1"/>
    <xf numFmtId="0" fontId="32" fillId="6" borderId="113" xfId="0" applyFont="1" applyFill="1" applyBorder="1" applyAlignment="1">
      <alignment horizontal="center"/>
    </xf>
    <xf numFmtId="0" fontId="32" fillId="6" borderId="114" xfId="0" applyFont="1" applyFill="1" applyBorder="1" applyAlignment="1">
      <alignment horizontal="center"/>
    </xf>
    <xf numFmtId="0" fontId="32" fillId="6" borderId="115" xfId="0" applyFont="1" applyFill="1" applyBorder="1" applyAlignment="1">
      <alignment horizontal="center"/>
    </xf>
    <xf numFmtId="0" fontId="32" fillId="6" borderId="116" xfId="0" applyFont="1" applyFill="1" applyBorder="1" applyAlignment="1">
      <alignment horizontal="center"/>
    </xf>
    <xf numFmtId="0" fontId="66" fillId="0" borderId="3" xfId="7" applyFont="1" applyBorder="1"/>
    <xf numFmtId="165" fontId="27" fillId="17" borderId="118" xfId="1" applyNumberFormat="1" applyFont="1" applyFill="1" applyBorder="1" applyAlignment="1">
      <alignment horizontal="right"/>
    </xf>
    <xf numFmtId="165" fontId="27" fillId="17" borderId="119" xfId="1" applyNumberFormat="1" applyFont="1" applyFill="1" applyBorder="1" applyAlignment="1">
      <alignment horizontal="right"/>
    </xf>
    <xf numFmtId="165" fontId="27" fillId="17" borderId="120" xfId="1" applyNumberFormat="1" applyFont="1" applyFill="1" applyBorder="1" applyAlignment="1">
      <alignment horizontal="right"/>
    </xf>
    <xf numFmtId="165" fontId="27" fillId="17" borderId="121" xfId="1" applyNumberFormat="1" applyFont="1" applyFill="1" applyBorder="1" applyAlignment="1">
      <alignment horizontal="right"/>
    </xf>
    <xf numFmtId="181" fontId="23" fillId="0" borderId="0" xfId="1" applyNumberFormat="1" applyFont="1" applyBorder="1" applyAlignment="1">
      <alignment horizontal="right"/>
    </xf>
    <xf numFmtId="9" fontId="23" fillId="0" borderId="0" xfId="0" applyNumberFormat="1" applyFont="1" applyFill="1" applyAlignment="1">
      <alignment horizontal="center"/>
    </xf>
    <xf numFmtId="165" fontId="23" fillId="0" borderId="0" xfId="1" applyNumberFormat="1" applyFont="1" applyFill="1" applyAlignment="1">
      <alignment horizontal="center"/>
    </xf>
    <xf numFmtId="0" fontId="23" fillId="0" borderId="8" xfId="0" applyFont="1" applyBorder="1"/>
    <xf numFmtId="0" fontId="23" fillId="0" borderId="123" xfId="0" applyFont="1" applyBorder="1"/>
    <xf numFmtId="10" fontId="23" fillId="0" borderId="124" xfId="0" applyNumberFormat="1" applyFont="1" applyBorder="1" applyAlignment="1">
      <alignment horizontal="center"/>
    </xf>
    <xf numFmtId="0" fontId="23" fillId="0" borderId="18" xfId="0" applyFont="1" applyBorder="1"/>
    <xf numFmtId="0" fontId="23" fillId="0" borderId="3" xfId="0" applyFont="1" applyBorder="1"/>
    <xf numFmtId="0" fontId="23" fillId="0" borderId="3" xfId="0" applyFont="1" applyBorder="1" applyAlignment="1">
      <alignment horizontal="right"/>
    </xf>
    <xf numFmtId="0" fontId="23" fillId="0" borderId="17" xfId="0" applyFont="1" applyBorder="1"/>
    <xf numFmtId="0" fontId="23" fillId="0" borderId="21" xfId="0" applyFont="1" applyBorder="1"/>
    <xf numFmtId="0" fontId="23" fillId="0" borderId="4" xfId="0" applyFont="1" applyBorder="1"/>
    <xf numFmtId="0" fontId="23" fillId="0" borderId="4" xfId="0" applyFont="1" applyBorder="1" applyAlignment="1">
      <alignment horizontal="right"/>
    </xf>
    <xf numFmtId="10" fontId="23" fillId="0" borderId="20" xfId="6" applyNumberFormat="1" applyFont="1" applyBorder="1"/>
    <xf numFmtId="0" fontId="60" fillId="6" borderId="109" xfId="0" applyFont="1" applyFill="1" applyBorder="1"/>
    <xf numFmtId="0" fontId="60" fillId="6" borderId="108" xfId="0" applyFont="1" applyFill="1" applyBorder="1"/>
    <xf numFmtId="0" fontId="60" fillId="6" borderId="108" xfId="0" applyFont="1" applyFill="1" applyBorder="1" applyAlignment="1">
      <alignment horizontal="center"/>
    </xf>
    <xf numFmtId="0" fontId="60" fillId="6" borderId="125" xfId="0" applyFont="1" applyFill="1" applyBorder="1" applyAlignment="1">
      <alignment horizontal="center"/>
    </xf>
    <xf numFmtId="0" fontId="35" fillId="5" borderId="37" xfId="0" applyFont="1" applyFill="1" applyBorder="1" applyAlignment="1">
      <alignment horizontal="center"/>
    </xf>
    <xf numFmtId="0" fontId="35" fillId="5" borderId="38" xfId="0" applyFont="1" applyFill="1" applyBorder="1" applyAlignment="1">
      <alignment horizontal="center"/>
    </xf>
    <xf numFmtId="0" fontId="70" fillId="5" borderId="122" xfId="0" applyFont="1" applyFill="1" applyBorder="1" applyAlignment="1">
      <alignment horizontal="center"/>
    </xf>
    <xf numFmtId="0" fontId="23" fillId="0" borderId="15" xfId="0" applyFont="1" applyFill="1" applyBorder="1"/>
    <xf numFmtId="165" fontId="23" fillId="0" borderId="9" xfId="0" applyNumberFormat="1" applyFont="1" applyBorder="1" applyAlignment="1">
      <alignment horizontal="left"/>
    </xf>
    <xf numFmtId="0" fontId="23" fillId="0" borderId="0" xfId="0" applyFont="1"/>
    <xf numFmtId="165" fontId="23" fillId="19" borderId="16" xfId="1" applyNumberFormat="1" applyFont="1" applyFill="1" applyBorder="1"/>
    <xf numFmtId="165" fontId="23" fillId="0" borderId="28" xfId="1" applyNumberFormat="1" applyFont="1" applyBorder="1" applyAlignment="1">
      <alignment horizontal="right"/>
    </xf>
    <xf numFmtId="165" fontId="23" fillId="0" borderId="23" xfId="1" applyNumberFormat="1" applyFont="1" applyBorder="1" applyAlignment="1">
      <alignment horizontal="right"/>
    </xf>
    <xf numFmtId="165" fontId="23" fillId="0" borderId="0" xfId="1" applyNumberFormat="1" applyFont="1" applyBorder="1" applyAlignment="1">
      <alignment horizontal="left" indent="1"/>
    </xf>
    <xf numFmtId="165" fontId="23" fillId="0" borderId="0" xfId="1" applyNumberFormat="1" applyFont="1" applyBorder="1" applyAlignment="1">
      <alignment horizontal="right"/>
    </xf>
    <xf numFmtId="0" fontId="27" fillId="0" borderId="0" xfId="0" applyFont="1"/>
    <xf numFmtId="10" fontId="23" fillId="19" borderId="10" xfId="0" applyNumberFormat="1" applyFont="1" applyFill="1" applyBorder="1" applyAlignment="1">
      <alignment horizontal="center"/>
    </xf>
    <xf numFmtId="165" fontId="27" fillId="17" borderId="117" xfId="0" applyNumberFormat="1" applyFont="1" applyFill="1" applyBorder="1" applyAlignment="1">
      <alignment horizontal="left" indent="1"/>
    </xf>
    <xf numFmtId="165" fontId="23" fillId="0" borderId="0" xfId="0" applyNumberFormat="1" applyFont="1" applyFill="1" applyAlignment="1">
      <alignment horizontal="center"/>
    </xf>
    <xf numFmtId="165" fontId="32" fillId="6" borderId="113" xfId="0" applyNumberFormat="1" applyFont="1" applyFill="1" applyBorder="1" applyAlignment="1">
      <alignment horizontal="center"/>
    </xf>
    <xf numFmtId="165" fontId="32" fillId="6" borderId="114" xfId="0" applyNumberFormat="1" applyFont="1" applyFill="1" applyBorder="1" applyAlignment="1">
      <alignment horizontal="center"/>
    </xf>
    <xf numFmtId="165" fontId="32" fillId="6" borderId="115" xfId="0" applyNumberFormat="1" applyFont="1" applyFill="1" applyBorder="1" applyAlignment="1">
      <alignment horizontal="center"/>
    </xf>
    <xf numFmtId="165" fontId="32" fillId="6" borderId="116" xfId="0" applyNumberFormat="1" applyFont="1" applyFill="1" applyBorder="1" applyAlignment="1">
      <alignment horizontal="center"/>
    </xf>
    <xf numFmtId="165" fontId="23" fillId="5" borderId="39" xfId="0" applyNumberFormat="1" applyFont="1" applyFill="1" applyBorder="1"/>
    <xf numFmtId="165" fontId="23" fillId="5" borderId="23" xfId="0" applyNumberFormat="1" applyFont="1" applyFill="1" applyBorder="1" applyAlignment="1">
      <alignment horizontal="center"/>
    </xf>
    <xf numFmtId="165" fontId="23" fillId="5" borderId="24" xfId="0" applyNumberFormat="1" applyFont="1" applyFill="1" applyBorder="1" applyAlignment="1">
      <alignment horizontal="center"/>
    </xf>
    <xf numFmtId="165" fontId="23" fillId="5" borderId="80" xfId="0" applyNumberFormat="1" applyFont="1" applyFill="1" applyBorder="1" applyAlignment="1">
      <alignment horizontal="center"/>
    </xf>
    <xf numFmtId="165" fontId="23" fillId="5" borderId="81" xfId="0" applyNumberFormat="1" applyFont="1" applyFill="1" applyBorder="1" applyAlignment="1">
      <alignment horizontal="center"/>
    </xf>
    <xf numFmtId="165" fontId="23" fillId="0" borderId="88" xfId="0" applyNumberFormat="1" applyFont="1" applyBorder="1" applyAlignment="1">
      <alignment horizontal="left"/>
    </xf>
    <xf numFmtId="165" fontId="23" fillId="0" borderId="84" xfId="0" applyNumberFormat="1" applyFont="1" applyBorder="1"/>
    <xf numFmtId="165" fontId="23" fillId="0" borderId="80" xfId="0" applyNumberFormat="1" applyFont="1" applyBorder="1"/>
    <xf numFmtId="0" fontId="23" fillId="0" borderId="19" xfId="7" applyFont="1" applyFill="1" applyBorder="1" applyAlignment="1"/>
    <xf numFmtId="0" fontId="23" fillId="0" borderId="14" xfId="7" applyFont="1" applyFill="1" applyBorder="1" applyAlignment="1"/>
    <xf numFmtId="0" fontId="23" fillId="0" borderId="14" xfId="7" applyFont="1" applyFill="1" applyBorder="1"/>
    <xf numFmtId="171" fontId="23" fillId="0" borderId="54" xfId="8" applyNumberFormat="1" applyFont="1" applyFill="1" applyBorder="1"/>
    <xf numFmtId="0" fontId="23" fillId="0" borderId="0" xfId="7" applyFont="1" applyFill="1"/>
    <xf numFmtId="165" fontId="23" fillId="0" borderId="0" xfId="1" applyNumberFormat="1" applyFont="1" applyFill="1"/>
    <xf numFmtId="43" fontId="23" fillId="0" borderId="0" xfId="1" applyFont="1" applyFill="1"/>
    <xf numFmtId="0" fontId="23" fillId="0" borderId="18" xfId="7" applyFont="1" applyFill="1" applyBorder="1" applyAlignment="1"/>
    <xf numFmtId="0" fontId="23" fillId="0" borderId="3" xfId="7" applyFont="1" applyFill="1" applyBorder="1" applyAlignment="1"/>
    <xf numFmtId="0" fontId="23" fillId="0" borderId="3" xfId="7" applyFont="1" applyFill="1" applyBorder="1"/>
    <xf numFmtId="10" fontId="23" fillId="0" borderId="17" xfId="8" applyNumberFormat="1" applyFont="1" applyFill="1" applyBorder="1"/>
    <xf numFmtId="165" fontId="23" fillId="0" borderId="0" xfId="1" applyNumberFormat="1" applyFont="1" applyBorder="1" applyAlignment="1">
      <alignment horizontal="left"/>
    </xf>
    <xf numFmtId="43" fontId="23" fillId="0" borderId="0" xfId="1" applyNumberFormat="1" applyFont="1" applyBorder="1" applyAlignment="1">
      <alignment horizontal="left" indent="1"/>
    </xf>
    <xf numFmtId="176" fontId="23" fillId="0" borderId="0" xfId="1" applyNumberFormat="1" applyFont="1" applyBorder="1" applyAlignment="1">
      <alignment horizontal="left" indent="1"/>
    </xf>
    <xf numFmtId="166" fontId="23" fillId="0" borderId="4" xfId="3" applyNumberFormat="1" applyFont="1" applyFill="1" applyBorder="1"/>
    <xf numFmtId="166" fontId="23" fillId="0" borderId="3" xfId="3" applyNumberFormat="1" applyFont="1" applyFill="1" applyBorder="1"/>
    <xf numFmtId="41" fontId="23" fillId="0" borderId="0" xfId="1" applyNumberFormat="1" applyFont="1" applyFill="1" applyBorder="1" applyAlignment="1">
      <alignment horizontal="left" indent="1"/>
    </xf>
    <xf numFmtId="165" fontId="30" fillId="19" borderId="23" xfId="1" applyNumberFormat="1" applyFont="1" applyFill="1" applyBorder="1" applyAlignment="1">
      <alignment horizontal="right"/>
    </xf>
    <xf numFmtId="169" fontId="30" fillId="19" borderId="110" xfId="3" applyNumberFormat="1" applyFont="1" applyFill="1" applyBorder="1" applyAlignment="1">
      <alignment horizontal="center"/>
    </xf>
    <xf numFmtId="0" fontId="23" fillId="0" borderId="14" xfId="7" applyFont="1" applyFill="1" applyBorder="1" applyAlignment="1">
      <alignment horizontal="left" indent="1"/>
    </xf>
    <xf numFmtId="0" fontId="23" fillId="0" borderId="15" xfId="7" applyFont="1" applyFill="1" applyBorder="1"/>
    <xf numFmtId="167" fontId="23" fillId="19" borderId="16" xfId="6" applyNumberFormat="1" applyFont="1" applyFill="1" applyBorder="1"/>
    <xf numFmtId="9" fontId="23" fillId="19" borderId="16" xfId="6" applyFont="1" applyFill="1" applyBorder="1"/>
    <xf numFmtId="165" fontId="23" fillId="19" borderId="0" xfId="1" applyNumberFormat="1" applyFont="1" applyFill="1" applyBorder="1"/>
    <xf numFmtId="0" fontId="23" fillId="19" borderId="0" xfId="7" applyFont="1" applyFill="1" applyBorder="1"/>
    <xf numFmtId="0" fontId="23" fillId="19" borderId="3" xfId="7" applyFont="1" applyFill="1" applyBorder="1"/>
    <xf numFmtId="10" fontId="23" fillId="19" borderId="17" xfId="8" applyNumberFormat="1" applyFont="1" applyFill="1" applyBorder="1"/>
    <xf numFmtId="0" fontId="23" fillId="0" borderId="15" xfId="7" applyFont="1" applyFill="1" applyBorder="1" applyAlignment="1"/>
    <xf numFmtId="0" fontId="23" fillId="0" borderId="0" xfId="7" applyFont="1" applyFill="1" applyBorder="1" applyAlignment="1"/>
    <xf numFmtId="165" fontId="23" fillId="0" borderId="0" xfId="0" applyNumberFormat="1" applyFont="1" applyFill="1" applyAlignment="1">
      <alignment horizontal="right"/>
    </xf>
    <xf numFmtId="0" fontId="23" fillId="0" borderId="0" xfId="0" applyFont="1" applyFill="1" applyAlignment="1">
      <alignment horizontal="right"/>
    </xf>
    <xf numFmtId="165" fontId="23" fillId="0" borderId="9" xfId="0" applyNumberFormat="1" applyFont="1" applyFill="1" applyBorder="1" applyAlignment="1">
      <alignment horizontal="left"/>
    </xf>
    <xf numFmtId="9" fontId="30" fillId="19" borderId="23" xfId="6" applyFont="1" applyFill="1" applyBorder="1" applyAlignment="1">
      <alignment horizontal="right"/>
    </xf>
    <xf numFmtId="9" fontId="30" fillId="19" borderId="81" xfId="6" applyFont="1" applyFill="1" applyBorder="1" applyAlignment="1">
      <alignment horizontal="right"/>
    </xf>
    <xf numFmtId="0" fontId="0" fillId="0" borderId="0" xfId="0"/>
    <xf numFmtId="0" fontId="0" fillId="0" borderId="17" xfId="0" applyBorder="1"/>
    <xf numFmtId="0" fontId="0" fillId="0" borderId="54" xfId="0" applyBorder="1"/>
    <xf numFmtId="172" fontId="51" fillId="0" borderId="0" xfId="0" applyNumberFormat="1" applyFont="1"/>
    <xf numFmtId="0" fontId="18" fillId="0" borderId="0" xfId="0" applyFont="1"/>
    <xf numFmtId="0" fontId="51" fillId="0" borderId="0" xfId="0" applyNumberFormat="1" applyFont="1"/>
    <xf numFmtId="172" fontId="18" fillId="0" borderId="0" xfId="0" applyNumberFormat="1" applyFont="1" applyAlignment="1">
      <alignment horizontal="left" indent="1"/>
    </xf>
    <xf numFmtId="172" fontId="18" fillId="0" borderId="0" xfId="0" applyNumberFormat="1" applyFont="1" applyAlignment="1">
      <alignment horizontal="left" indent="2"/>
    </xf>
    <xf numFmtId="0" fontId="51" fillId="0" borderId="0" xfId="0" applyNumberFormat="1" applyFont="1" applyAlignment="1">
      <alignment horizontal="left"/>
    </xf>
    <xf numFmtId="49" fontId="51" fillId="0" borderId="0" xfId="0" applyNumberFormat="1" applyFont="1"/>
    <xf numFmtId="49" fontId="18" fillId="0" borderId="0" xfId="0" applyNumberFormat="1" applyFont="1" applyAlignment="1">
      <alignment horizontal="left" indent="1"/>
    </xf>
    <xf numFmtId="0" fontId="18" fillId="0" borderId="0" xfId="0" applyNumberFormat="1" applyFont="1" applyAlignment="1">
      <alignment horizontal="left" indent="1"/>
    </xf>
    <xf numFmtId="0" fontId="51" fillId="0" borderId="0" xfId="0" applyNumberFormat="1" applyFont="1" applyAlignment="1"/>
    <xf numFmtId="172" fontId="18" fillId="0" borderId="0" xfId="0" applyNumberFormat="1" applyFont="1"/>
    <xf numFmtId="172" fontId="51" fillId="0" borderId="0" xfId="0" applyNumberFormat="1" applyFont="1" applyAlignment="1">
      <alignment horizontal="left" indent="1"/>
    </xf>
    <xf numFmtId="0" fontId="0" fillId="0" borderId="3" xfId="0" applyBorder="1"/>
    <xf numFmtId="0" fontId="51" fillId="0" borderId="0" xfId="0" applyNumberFormat="1" applyFont="1" applyAlignment="1">
      <alignment horizontal="left" indent="1"/>
    </xf>
    <xf numFmtId="172" fontId="51" fillId="0" borderId="0" xfId="0" applyNumberFormat="1" applyFont="1" applyAlignment="1">
      <alignment horizontal="left" indent="2"/>
    </xf>
    <xf numFmtId="172" fontId="18" fillId="0" borderId="0" xfId="0" applyNumberFormat="1" applyFont="1" applyAlignment="1">
      <alignment horizontal="left" indent="3"/>
    </xf>
    <xf numFmtId="172" fontId="18" fillId="0" borderId="0" xfId="0" applyNumberFormat="1" applyFont="1" applyBorder="1" applyAlignment="1">
      <alignment horizontal="left" indent="2"/>
    </xf>
    <xf numFmtId="173" fontId="18" fillId="0" borderId="0" xfId="0" applyNumberFormat="1" applyFont="1" applyAlignment="1">
      <alignment horizontal="right"/>
    </xf>
    <xf numFmtId="2" fontId="18" fillId="0" borderId="0" xfId="0" applyNumberFormat="1" applyFont="1" applyAlignment="1">
      <alignment horizontal="right"/>
    </xf>
    <xf numFmtId="3" fontId="18" fillId="0" borderId="0" xfId="0" applyNumberFormat="1" applyFont="1" applyAlignment="1">
      <alignment horizontal="right"/>
    </xf>
    <xf numFmtId="173" fontId="18" fillId="0" borderId="0" xfId="0" applyNumberFormat="1" applyFont="1" applyBorder="1" applyAlignment="1">
      <alignment horizontal="right"/>
    </xf>
    <xf numFmtId="2" fontId="18" fillId="0" borderId="0" xfId="0" applyNumberFormat="1" applyFont="1" applyBorder="1" applyAlignment="1">
      <alignment horizontal="right"/>
    </xf>
    <xf numFmtId="3" fontId="18" fillId="0" borderId="0" xfId="0" applyNumberFormat="1" applyFont="1" applyBorder="1" applyAlignment="1">
      <alignment horizontal="right"/>
    </xf>
    <xf numFmtId="182" fontId="18" fillId="0" borderId="0" xfId="0" applyNumberFormat="1" applyFont="1" applyAlignment="1">
      <alignment horizontal="right"/>
    </xf>
    <xf numFmtId="182" fontId="18" fillId="0" borderId="0" xfId="0" applyNumberFormat="1" applyFont="1" applyBorder="1" applyAlignment="1">
      <alignment horizontal="right"/>
    </xf>
    <xf numFmtId="182" fontId="0" fillId="0" borderId="3" xfId="0" applyNumberFormat="1" applyBorder="1"/>
    <xf numFmtId="173" fontId="0" fillId="0" borderId="46" xfId="0" applyNumberFormat="1" applyBorder="1"/>
    <xf numFmtId="173" fontId="0" fillId="0" borderId="47" xfId="0" applyNumberFormat="1" applyBorder="1"/>
    <xf numFmtId="173" fontId="0" fillId="0" borderId="3" xfId="0" applyNumberFormat="1" applyBorder="1"/>
    <xf numFmtId="2" fontId="0" fillId="0" borderId="3" xfId="0" applyNumberFormat="1" applyBorder="1"/>
    <xf numFmtId="3" fontId="0" fillId="0" borderId="3" xfId="0" applyNumberFormat="1" applyBorder="1"/>
    <xf numFmtId="2" fontId="18" fillId="0" borderId="0" xfId="0" applyNumberFormat="1" applyFont="1" applyAlignment="1">
      <alignment horizontal="center" wrapText="1"/>
    </xf>
    <xf numFmtId="182" fontId="18" fillId="0" borderId="0" xfId="0" applyNumberFormat="1" applyFont="1" applyAlignment="1">
      <alignment horizontal="center" wrapText="1"/>
    </xf>
    <xf numFmtId="3" fontId="0" fillId="0" borderId="0" xfId="0" applyNumberFormat="1" applyAlignment="1">
      <alignment horizontal="right"/>
    </xf>
    <xf numFmtId="4" fontId="18" fillId="0" borderId="0" xfId="0" applyNumberFormat="1" applyFont="1" applyAlignment="1">
      <alignment horizontal="right"/>
    </xf>
    <xf numFmtId="4" fontId="0" fillId="0" borderId="0" xfId="0" applyNumberFormat="1" applyAlignment="1">
      <alignment horizontal="right"/>
    </xf>
    <xf numFmtId="4" fontId="18" fillId="0" borderId="0" xfId="0" applyNumberFormat="1" applyFont="1" applyBorder="1" applyAlignment="1">
      <alignment horizontal="right"/>
    </xf>
    <xf numFmtId="4" fontId="0" fillId="0" borderId="3" xfId="0" applyNumberFormat="1" applyBorder="1"/>
    <xf numFmtId="2" fontId="0" fillId="0" borderId="47" xfId="0" applyNumberFormat="1" applyBorder="1" applyAlignment="1">
      <alignment wrapText="1"/>
    </xf>
    <xf numFmtId="2" fontId="0" fillId="0" borderId="48" xfId="0" applyNumberFormat="1" applyBorder="1" applyAlignment="1">
      <alignment wrapText="1"/>
    </xf>
    <xf numFmtId="3" fontId="0" fillId="0" borderId="47" xfId="0" applyNumberFormat="1" applyBorder="1" applyAlignment="1">
      <alignment wrapText="1"/>
    </xf>
    <xf numFmtId="3" fontId="0" fillId="0" borderId="48" xfId="0" applyNumberFormat="1" applyBorder="1" applyAlignment="1">
      <alignment wrapText="1"/>
    </xf>
    <xf numFmtId="182" fontId="18" fillId="18" borderId="0" xfId="0" applyNumberFormat="1" applyFont="1" applyFill="1" applyAlignment="1">
      <alignment horizontal="right"/>
    </xf>
    <xf numFmtId="172" fontId="18" fillId="18" borderId="0" xfId="0" applyNumberFormat="1" applyFont="1" applyFill="1" applyAlignment="1">
      <alignment horizontal="left" indent="2"/>
    </xf>
    <xf numFmtId="173" fontId="18" fillId="18" borderId="0" xfId="0" applyNumberFormat="1" applyFont="1" applyFill="1" applyAlignment="1">
      <alignment horizontal="right"/>
    </xf>
    <xf numFmtId="2" fontId="18" fillId="18" borderId="0" xfId="0" applyNumberFormat="1" applyFont="1" applyFill="1" applyAlignment="1">
      <alignment horizontal="right"/>
    </xf>
    <xf numFmtId="3" fontId="18" fillId="18" borderId="0" xfId="0" applyNumberFormat="1" applyFont="1" applyFill="1" applyAlignment="1">
      <alignment horizontal="right"/>
    </xf>
    <xf numFmtId="172" fontId="18" fillId="18" borderId="0" xfId="7" applyNumberFormat="1" applyFont="1" applyFill="1"/>
    <xf numFmtId="3" fontId="18" fillId="18" borderId="0" xfId="7" applyNumberFormat="1" applyFont="1" applyFill="1" applyAlignment="1">
      <alignment horizontal="right"/>
    </xf>
    <xf numFmtId="173" fontId="18" fillId="18" borderId="0" xfId="7" applyNumberFormat="1" applyFont="1" applyFill="1" applyAlignment="1">
      <alignment horizontal="right"/>
    </xf>
    <xf numFmtId="3" fontId="49" fillId="0" borderId="0" xfId="7" applyNumberFormat="1" applyFont="1" applyFill="1" applyAlignment="1">
      <alignment horizontal="right"/>
    </xf>
    <xf numFmtId="4" fontId="18" fillId="18" borderId="0" xfId="0" applyNumberFormat="1" applyFont="1" applyFill="1" applyAlignment="1">
      <alignment horizontal="right"/>
    </xf>
    <xf numFmtId="3" fontId="49" fillId="18" borderId="0" xfId="7" applyNumberFormat="1" applyFont="1" applyFill="1"/>
    <xf numFmtId="0" fontId="49" fillId="0" borderId="0" xfId="7" applyFont="1" applyAlignment="1">
      <alignment horizontal="center"/>
    </xf>
    <xf numFmtId="0" fontId="49" fillId="21" borderId="0" xfId="7" applyFont="1" applyFill="1"/>
    <xf numFmtId="4" fontId="49" fillId="0" borderId="0" xfId="7" applyNumberFormat="1" applyFont="1" applyAlignment="1">
      <alignment horizontal="right"/>
    </xf>
    <xf numFmtId="175" fontId="23" fillId="19" borderId="54" xfId="8" applyNumberFormat="1" applyFont="1" applyFill="1" applyBorder="1"/>
    <xf numFmtId="175" fontId="23" fillId="19" borderId="16" xfId="8" applyNumberFormat="1" applyFont="1" applyFill="1" applyBorder="1"/>
    <xf numFmtId="171" fontId="23" fillId="19" borderId="54" xfId="8" applyNumberFormat="1" applyFont="1" applyFill="1" applyBorder="1"/>
    <xf numFmtId="171" fontId="23" fillId="19" borderId="16" xfId="8" applyNumberFormat="1" applyFont="1" applyFill="1" applyBorder="1"/>
    <xf numFmtId="0" fontId="18" fillId="0" borderId="0" xfId="7" applyFont="1" applyBorder="1"/>
    <xf numFmtId="164" fontId="23" fillId="0" borderId="10" xfId="1" applyNumberFormat="1" applyFont="1" applyBorder="1"/>
    <xf numFmtId="164" fontId="23" fillId="0" borderId="110" xfId="1" applyNumberFormat="1" applyFont="1" applyBorder="1"/>
    <xf numFmtId="172" fontId="18" fillId="0" borderId="7" xfId="7" applyNumberFormat="1" applyFont="1" applyBorder="1" applyAlignment="1">
      <alignment horizontal="left" indent="2"/>
    </xf>
    <xf numFmtId="0" fontId="18" fillId="0" borderId="1" xfId="7" applyFont="1" applyBorder="1"/>
    <xf numFmtId="0" fontId="18" fillId="0" borderId="79" xfId="7" applyFont="1" applyBorder="1"/>
    <xf numFmtId="172" fontId="18" fillId="0" borderId="9" xfId="7" applyNumberFormat="1" applyFont="1" applyBorder="1" applyAlignment="1">
      <alignment horizontal="left" indent="2"/>
    </xf>
    <xf numFmtId="0" fontId="18" fillId="5" borderId="0" xfId="7" applyFont="1" applyFill="1" applyBorder="1"/>
    <xf numFmtId="0" fontId="18" fillId="0" borderId="10" xfId="7" applyFont="1" applyBorder="1"/>
    <xf numFmtId="0" fontId="51" fillId="5" borderId="9" xfId="7" applyNumberFormat="1" applyFont="1" applyFill="1" applyBorder="1"/>
    <xf numFmtId="0" fontId="51" fillId="5" borderId="0" xfId="7" applyFont="1" applyFill="1" applyBorder="1"/>
    <xf numFmtId="172" fontId="18" fillId="0" borderId="9" xfId="7" applyNumberFormat="1" applyFont="1" applyBorder="1" applyAlignment="1">
      <alignment horizontal="left" indent="1"/>
    </xf>
    <xf numFmtId="165" fontId="18" fillId="0" borderId="0" xfId="1" applyNumberFormat="1" applyFont="1" applyBorder="1"/>
    <xf numFmtId="165" fontId="18" fillId="0" borderId="9" xfId="1" applyNumberFormat="1" applyFont="1" applyBorder="1"/>
    <xf numFmtId="49" fontId="51" fillId="0" borderId="9" xfId="7" applyNumberFormat="1" applyFont="1" applyBorder="1"/>
    <xf numFmtId="49" fontId="18" fillId="0" borderId="8" xfId="7" applyNumberFormat="1" applyFont="1" applyBorder="1" applyAlignment="1">
      <alignment horizontal="left" indent="1"/>
    </xf>
    <xf numFmtId="0" fontId="18" fillId="0" borderId="2" xfId="7" applyFont="1" applyBorder="1"/>
    <xf numFmtId="0" fontId="18" fillId="0" borderId="110" xfId="7" applyFont="1" applyBorder="1"/>
    <xf numFmtId="10" fontId="17" fillId="0" borderId="17" xfId="0" applyNumberFormat="1" applyFont="1" applyBorder="1" applyProtection="1"/>
    <xf numFmtId="10" fontId="17" fillId="0" borderId="76" xfId="0" applyNumberFormat="1" applyFont="1" applyBorder="1" applyProtection="1"/>
    <xf numFmtId="178" fontId="17" fillId="0" borderId="3" xfId="0" applyNumberFormat="1" applyFont="1" applyBorder="1" applyAlignment="1" applyProtection="1">
      <alignment horizontal="center"/>
    </xf>
    <xf numFmtId="10" fontId="21" fillId="14" borderId="77" xfId="0" applyNumberFormat="1" applyFont="1" applyFill="1" applyBorder="1" applyAlignment="1" applyProtection="1"/>
    <xf numFmtId="0" fontId="17" fillId="0" borderId="3" xfId="0" applyFont="1" applyBorder="1" applyAlignment="1" applyProtection="1">
      <alignment horizontal="left"/>
    </xf>
    <xf numFmtId="10" fontId="17" fillId="0" borderId="48" xfId="0" applyNumberFormat="1" applyFont="1" applyBorder="1"/>
    <xf numFmtId="0" fontId="17" fillId="0" borderId="76" xfId="0" applyFont="1" applyBorder="1" applyAlignment="1" applyProtection="1">
      <alignment horizontal="left"/>
    </xf>
    <xf numFmtId="0" fontId="47" fillId="9" borderId="50" xfId="7" applyFont="1" applyFill="1" applyBorder="1" applyAlignment="1">
      <alignment horizontal="center"/>
    </xf>
    <xf numFmtId="165" fontId="65" fillId="9" borderId="52" xfId="1" applyNumberFormat="1" applyFont="1" applyFill="1" applyBorder="1" applyAlignment="1">
      <alignment horizontal="center" wrapText="1"/>
    </xf>
    <xf numFmtId="165" fontId="65" fillId="9" borderId="50" xfId="1" applyNumberFormat="1" applyFont="1" applyFill="1" applyBorder="1" applyAlignment="1">
      <alignment horizontal="center" wrapText="1"/>
    </xf>
    <xf numFmtId="0" fontId="65" fillId="9" borderId="62" xfId="7" applyFont="1" applyFill="1" applyBorder="1" applyAlignment="1">
      <alignment horizontal="center"/>
    </xf>
    <xf numFmtId="0" fontId="65" fillId="9" borderId="1" xfId="7" applyFont="1" applyFill="1" applyBorder="1" applyAlignment="1">
      <alignment horizontal="center"/>
    </xf>
    <xf numFmtId="0" fontId="65" fillId="9" borderId="50" xfId="7" applyFont="1" applyFill="1" applyBorder="1" applyAlignment="1">
      <alignment horizontal="center"/>
    </xf>
    <xf numFmtId="0" fontId="23" fillId="0" borderId="14" xfId="7" applyFont="1" applyBorder="1" applyAlignment="1">
      <alignment horizontal="left" indent="1"/>
    </xf>
    <xf numFmtId="166" fontId="23" fillId="0" borderId="0" xfId="8" applyNumberFormat="1" applyFont="1" applyBorder="1"/>
    <xf numFmtId="165" fontId="27" fillId="4" borderId="20" xfId="1" applyNumberFormat="1" applyFont="1" applyFill="1" applyBorder="1"/>
    <xf numFmtId="165" fontId="27" fillId="4" borderId="4" xfId="1" applyNumberFormat="1" applyFont="1" applyFill="1" applyBorder="1"/>
    <xf numFmtId="0" fontId="23" fillId="0" borderId="0" xfId="7" applyFont="1" applyBorder="1"/>
    <xf numFmtId="0" fontId="23" fillId="0" borderId="20" xfId="7" applyFont="1" applyBorder="1"/>
    <xf numFmtId="0" fontId="23" fillId="0" borderId="3" xfId="7" applyFont="1" applyBorder="1"/>
    <xf numFmtId="164" fontId="23" fillId="0" borderId="0" xfId="1" applyNumberFormat="1" applyFont="1" applyBorder="1"/>
    <xf numFmtId="0" fontId="65" fillId="9" borderId="50" xfId="1" applyNumberFormat="1" applyFont="1" applyFill="1" applyBorder="1" applyAlignment="1">
      <alignment horizontal="center" wrapText="1"/>
    </xf>
    <xf numFmtId="0" fontId="23" fillId="0" borderId="0" xfId="7" applyFont="1" applyFill="1" applyBorder="1"/>
    <xf numFmtId="0" fontId="66" fillId="0" borderId="3" xfId="7" applyFont="1" applyBorder="1"/>
    <xf numFmtId="0" fontId="47" fillId="9" borderId="57" xfId="7" applyFont="1" applyFill="1" applyBorder="1" applyAlignment="1">
      <alignment horizontal="center" vertical="center" textRotation="90"/>
    </xf>
    <xf numFmtId="165" fontId="27" fillId="4" borderId="21" xfId="1" applyNumberFormat="1" applyFont="1" applyFill="1" applyBorder="1"/>
    <xf numFmtId="165" fontId="23" fillId="0" borderId="1" xfId="1" applyNumberFormat="1" applyFont="1" applyBorder="1"/>
    <xf numFmtId="0" fontId="21" fillId="0" borderId="0" xfId="0" applyFont="1" applyAlignment="1">
      <alignment horizontal="centerContinuous"/>
    </xf>
    <xf numFmtId="0" fontId="51" fillId="0" borderId="0" xfId="0" applyFont="1" applyAlignment="1">
      <alignment horizontal="centerContinuous"/>
    </xf>
    <xf numFmtId="0" fontId="21" fillId="13" borderId="0" xfId="0" applyFont="1" applyFill="1" applyAlignment="1">
      <alignment horizontal="centerContinuous"/>
    </xf>
    <xf numFmtId="0" fontId="17" fillId="0" borderId="63" xfId="0" applyFont="1" applyBorder="1" applyAlignment="1">
      <alignment horizontal="centerContinuous"/>
    </xf>
    <xf numFmtId="0" fontId="21" fillId="0" borderId="64" xfId="0" applyFont="1" applyBorder="1" applyAlignment="1" applyProtection="1">
      <alignment horizontal="centerContinuous"/>
    </xf>
    <xf numFmtId="0" fontId="21" fillId="0" borderId="64" xfId="0" applyFont="1" applyBorder="1" applyAlignment="1">
      <alignment horizontal="centerContinuous"/>
    </xf>
    <xf numFmtId="0" fontId="17" fillId="0" borderId="64" xfId="0" applyFont="1" applyBorder="1" applyAlignment="1">
      <alignment horizontal="centerContinuous"/>
    </xf>
    <xf numFmtId="0" fontId="17" fillId="0" borderId="64" xfId="0" applyFont="1" applyBorder="1" applyAlignment="1">
      <alignment horizontal="left"/>
    </xf>
    <xf numFmtId="0" fontId="18" fillId="0" borderId="64" xfId="0" quotePrefix="1" applyFont="1" applyBorder="1" applyAlignment="1">
      <alignment horizontal="left"/>
    </xf>
    <xf numFmtId="0" fontId="17" fillId="0" borderId="64" xfId="0" quotePrefix="1" applyFont="1" applyBorder="1" applyAlignment="1">
      <alignment horizontal="left"/>
    </xf>
    <xf numFmtId="0" fontId="17" fillId="13" borderId="64" xfId="0" applyFont="1" applyFill="1" applyBorder="1" applyAlignment="1">
      <alignment horizontal="centerContinuous"/>
    </xf>
    <xf numFmtId="0" fontId="17" fillId="0" borderId="0" xfId="0" applyFont="1" applyAlignment="1"/>
    <xf numFmtId="0" fontId="17" fillId="0" borderId="65" xfId="0" applyFont="1" applyBorder="1" applyAlignment="1" applyProtection="1"/>
    <xf numFmtId="0" fontId="21" fillId="0" borderId="0" xfId="0" applyFont="1" applyBorder="1" applyAlignment="1" applyProtection="1">
      <alignment horizontal="centerContinuous"/>
    </xf>
    <xf numFmtId="0" fontId="21" fillId="0" borderId="0" xfId="0" applyFont="1" applyBorder="1" applyAlignment="1">
      <alignment horizontal="centerContinuous"/>
    </xf>
    <xf numFmtId="0" fontId="17" fillId="0" borderId="0" xfId="0" applyFont="1" applyAlignment="1">
      <alignment horizontal="centerContinuous"/>
    </xf>
    <xf numFmtId="0" fontId="17" fillId="0" borderId="0" xfId="0" applyFont="1" applyAlignment="1">
      <alignment horizontal="left"/>
    </xf>
    <xf numFmtId="0" fontId="18" fillId="0" borderId="0" xfId="0" quotePrefix="1" applyFont="1" applyBorder="1" applyAlignment="1">
      <alignment horizontal="left"/>
    </xf>
    <xf numFmtId="177" fontId="17" fillId="0" borderId="0" xfId="0" quotePrefix="1" applyNumberFormat="1" applyFont="1" applyBorder="1" applyAlignment="1">
      <alignment horizontal="left"/>
    </xf>
    <xf numFmtId="177" fontId="17" fillId="0" borderId="0" xfId="0" applyNumberFormat="1" applyFont="1" applyBorder="1" applyAlignment="1">
      <alignment horizontal="centerContinuous"/>
    </xf>
    <xf numFmtId="177" fontId="17" fillId="13" borderId="0" xfId="0" applyNumberFormat="1" applyFont="1" applyFill="1" applyBorder="1" applyAlignment="1">
      <alignment horizontal="centerContinuous"/>
    </xf>
    <xf numFmtId="0" fontId="18" fillId="0" borderId="0" xfId="0" quotePrefix="1" applyFont="1" applyBorder="1" applyAlignment="1" applyProtection="1">
      <alignment horizontal="left"/>
    </xf>
    <xf numFmtId="0" fontId="21" fillId="0" borderId="0" xfId="0" applyFont="1" applyAlignment="1">
      <alignment horizontal="centerContinuous" vertical="center"/>
    </xf>
    <xf numFmtId="0" fontId="74" fillId="0" borderId="0" xfId="0" applyFont="1" applyAlignment="1">
      <alignment horizontal="centerContinuous" vertical="center"/>
    </xf>
    <xf numFmtId="0" fontId="74" fillId="0" borderId="0" xfId="0" applyFont="1" applyAlignment="1">
      <alignment horizontal="left" vertical="center"/>
    </xf>
    <xf numFmtId="0" fontId="21" fillId="0" borderId="0" xfId="0" applyFont="1" applyBorder="1" applyAlignment="1" applyProtection="1">
      <alignment horizontal="centerContinuous" vertical="center"/>
    </xf>
    <xf numFmtId="0" fontId="75" fillId="0" borderId="0" xfId="0" applyFont="1" applyAlignment="1">
      <alignment horizontal="centerContinuous" vertical="center"/>
    </xf>
    <xf numFmtId="0" fontId="75" fillId="0" borderId="0" xfId="0" applyFont="1" applyAlignment="1">
      <alignment horizontal="left" vertical="center"/>
    </xf>
    <xf numFmtId="0" fontId="21" fillId="0" borderId="2" xfId="0" applyFont="1" applyBorder="1" applyAlignment="1">
      <alignment horizontal="centerContinuous" vertical="center"/>
    </xf>
    <xf numFmtId="0" fontId="75" fillId="0" borderId="2" xfId="0" applyFont="1" applyBorder="1" applyAlignment="1">
      <alignment horizontal="centerContinuous" vertical="center"/>
    </xf>
    <xf numFmtId="0" fontId="75" fillId="0" borderId="2" xfId="0" applyFont="1" applyBorder="1" applyAlignment="1">
      <alignment horizontal="left" vertical="center"/>
    </xf>
    <xf numFmtId="177" fontId="17" fillId="0" borderId="0" xfId="0" applyNumberFormat="1" applyFont="1" applyBorder="1" applyAlignment="1"/>
    <xf numFmtId="177" fontId="17" fillId="13" borderId="0" xfId="0" applyNumberFormat="1" applyFont="1" applyFill="1" applyBorder="1" applyAlignment="1"/>
    <xf numFmtId="0" fontId="21" fillId="14" borderId="66" xfId="0" applyFont="1" applyFill="1" applyBorder="1"/>
    <xf numFmtId="0" fontId="21" fillId="14" borderId="1" xfId="0" applyFont="1" applyFill="1" applyBorder="1"/>
    <xf numFmtId="0" fontId="21" fillId="14" borderId="1" xfId="0" applyFont="1" applyFill="1" applyBorder="1" applyAlignment="1" applyProtection="1">
      <alignment horizontal="center"/>
    </xf>
    <xf numFmtId="0" fontId="21" fillId="14" borderId="1" xfId="0" quotePrefix="1" applyFont="1" applyFill="1" applyBorder="1" applyAlignment="1" applyProtection="1">
      <alignment horizontal="center"/>
    </xf>
    <xf numFmtId="177" fontId="50" fillId="14" borderId="66" xfId="0" applyNumberFormat="1" applyFont="1" applyFill="1" applyBorder="1" applyAlignment="1" applyProtection="1">
      <alignment horizontal="centerContinuous"/>
    </xf>
    <xf numFmtId="177" fontId="50" fillId="14" borderId="1" xfId="0" applyNumberFormat="1" applyFont="1" applyFill="1" applyBorder="1" applyAlignment="1" applyProtection="1">
      <alignment horizontal="centerContinuous"/>
    </xf>
    <xf numFmtId="177" fontId="21" fillId="14" borderId="1" xfId="0" applyNumberFormat="1" applyFont="1" applyFill="1" applyBorder="1" applyAlignment="1" applyProtection="1">
      <alignment horizontal="centerContinuous"/>
    </xf>
    <xf numFmtId="0" fontId="21" fillId="14" borderId="65" xfId="0" applyFont="1" applyFill="1" applyBorder="1"/>
    <xf numFmtId="0" fontId="21" fillId="14" borderId="0" xfId="0" applyFont="1" applyFill="1" applyBorder="1"/>
    <xf numFmtId="0" fontId="21" fillId="14" borderId="0" xfId="0" applyFont="1" applyFill="1" applyBorder="1" applyAlignment="1" applyProtection="1">
      <alignment horizontal="center"/>
    </xf>
    <xf numFmtId="177" fontId="76" fillId="14" borderId="66" xfId="0" applyNumberFormat="1" applyFont="1" applyFill="1" applyBorder="1" applyAlignment="1" applyProtection="1">
      <alignment horizontal="centerContinuous"/>
    </xf>
    <xf numFmtId="177" fontId="76" fillId="14" borderId="1" xfId="0" applyNumberFormat="1" applyFont="1" applyFill="1" applyBorder="1" applyAlignment="1" applyProtection="1">
      <alignment horizontal="centerContinuous"/>
    </xf>
    <xf numFmtId="177" fontId="51" fillId="14" borderId="67" xfId="0" applyNumberFormat="1" applyFont="1" applyFill="1" applyBorder="1" applyAlignment="1" applyProtection="1">
      <alignment horizontal="center"/>
    </xf>
    <xf numFmtId="0" fontId="21" fillId="14" borderId="68" xfId="0" applyFont="1" applyFill="1" applyBorder="1" applyAlignment="1" applyProtection="1">
      <alignment horizontal="left"/>
    </xf>
    <xf numFmtId="0" fontId="21" fillId="14" borderId="69" xfId="0" applyFont="1" applyFill="1" applyBorder="1" applyAlignment="1" applyProtection="1">
      <alignment horizontal="left"/>
    </xf>
    <xf numFmtId="0" fontId="21" fillId="14" borderId="69" xfId="0" applyFont="1" applyFill="1" applyBorder="1" applyAlignment="1" applyProtection="1">
      <alignment horizontal="center"/>
    </xf>
    <xf numFmtId="0" fontId="21" fillId="14" borderId="69" xfId="0" quotePrefix="1" applyFont="1" applyFill="1" applyBorder="1" applyAlignment="1" applyProtection="1">
      <alignment horizontal="center"/>
    </xf>
    <xf numFmtId="177" fontId="21" fillId="14" borderId="68" xfId="0" quotePrefix="1" applyNumberFormat="1" applyFont="1" applyFill="1" applyBorder="1" applyAlignment="1" applyProtection="1">
      <alignment horizontal="centerContinuous"/>
    </xf>
    <xf numFmtId="177" fontId="21" fillId="14" borderId="69" xfId="0" quotePrefix="1" applyNumberFormat="1" applyFont="1" applyFill="1" applyBorder="1" applyAlignment="1" applyProtection="1">
      <alignment horizontal="centerContinuous"/>
    </xf>
    <xf numFmtId="177" fontId="21" fillId="14" borderId="69" xfId="0" applyNumberFormat="1" applyFont="1" applyFill="1" applyBorder="1" applyAlignment="1" applyProtection="1">
      <alignment horizontal="center"/>
    </xf>
    <xf numFmtId="177" fontId="21" fillId="14" borderId="69" xfId="0" quotePrefix="1" applyNumberFormat="1" applyFont="1" applyFill="1" applyBorder="1" applyAlignment="1" applyProtection="1">
      <alignment horizontal="center"/>
    </xf>
    <xf numFmtId="177" fontId="51" fillId="14" borderId="70" xfId="0" applyNumberFormat="1" applyFont="1" applyFill="1" applyBorder="1" applyAlignment="1" applyProtection="1">
      <alignment horizontal="center"/>
    </xf>
    <xf numFmtId="0" fontId="17" fillId="0" borderId="63" xfId="0" applyFont="1" applyBorder="1" applyAlignment="1" applyProtection="1">
      <alignment horizontal="left"/>
    </xf>
    <xf numFmtId="0" fontId="17" fillId="0" borderId="64" xfId="0" applyFont="1" applyBorder="1" applyAlignment="1" applyProtection="1">
      <alignment horizontal="left"/>
    </xf>
    <xf numFmtId="178" fontId="17" fillId="0" borderId="64" xfId="0" applyNumberFormat="1" applyFont="1" applyBorder="1" applyAlignment="1" applyProtection="1">
      <alignment horizontal="center"/>
    </xf>
    <xf numFmtId="177" fontId="17" fillId="0" borderId="64" xfId="0" applyNumberFormat="1" applyFont="1" applyBorder="1" applyProtection="1"/>
    <xf numFmtId="177" fontId="17" fillId="0" borderId="64" xfId="0" applyNumberFormat="1" applyFont="1" applyBorder="1"/>
    <xf numFmtId="177" fontId="17" fillId="13" borderId="64" xfId="0" applyNumberFormat="1" applyFont="1" applyFill="1" applyBorder="1" applyAlignment="1" applyProtection="1"/>
    <xf numFmtId="0" fontId="17" fillId="0" borderId="71" xfId="0" applyFont="1" applyBorder="1" applyAlignment="1" applyProtection="1">
      <alignment horizontal="left"/>
    </xf>
    <xf numFmtId="0" fontId="17" fillId="0" borderId="72" xfId="0" applyFont="1" applyBorder="1" applyAlignment="1" applyProtection="1">
      <alignment horizontal="left"/>
    </xf>
    <xf numFmtId="178" fontId="17" fillId="0" borderId="72" xfId="0" applyNumberFormat="1" applyFont="1" applyBorder="1" applyAlignment="1" applyProtection="1">
      <alignment horizontal="center"/>
    </xf>
    <xf numFmtId="10" fontId="17" fillId="0" borderId="71" xfId="0" applyNumberFormat="1" applyFont="1" applyBorder="1" applyProtection="1"/>
    <xf numFmtId="10" fontId="17" fillId="0" borderId="73" xfId="0" applyNumberFormat="1" applyFont="1" applyBorder="1" applyProtection="1"/>
    <xf numFmtId="10" fontId="17" fillId="0" borderId="74" xfId="0" applyNumberFormat="1" applyFont="1" applyBorder="1"/>
    <xf numFmtId="10" fontId="21" fillId="14" borderId="75" xfId="0" applyNumberFormat="1" applyFont="1" applyFill="1" applyBorder="1" applyAlignment="1" applyProtection="1"/>
    <xf numFmtId="0" fontId="17" fillId="15" borderId="78" xfId="0" applyFont="1" applyFill="1" applyBorder="1"/>
    <xf numFmtId="0" fontId="17" fillId="15" borderId="4" xfId="0" applyFont="1" applyFill="1" applyBorder="1"/>
    <xf numFmtId="10" fontId="17" fillId="15" borderId="4" xfId="0" applyNumberFormat="1" applyFont="1" applyFill="1" applyBorder="1"/>
    <xf numFmtId="0" fontId="17" fillId="0" borderId="3" xfId="0" quotePrefix="1" applyFont="1" applyBorder="1" applyAlignment="1" applyProtection="1">
      <alignment horizontal="left"/>
    </xf>
    <xf numFmtId="178" fontId="17" fillId="0" borderId="3" xfId="0" quotePrefix="1" applyNumberFormat="1" applyFont="1" applyBorder="1" applyAlignment="1" applyProtection="1">
      <alignment horizontal="center"/>
    </xf>
    <xf numFmtId="0" fontId="17" fillId="0" borderId="76" xfId="0" quotePrefix="1" applyFont="1" applyBorder="1" applyAlignment="1" applyProtection="1">
      <alignment horizontal="left"/>
    </xf>
    <xf numFmtId="0" fontId="17" fillId="0" borderId="0" xfId="0" applyFont="1" applyBorder="1" applyAlignment="1" applyProtection="1">
      <alignment horizontal="left"/>
    </xf>
    <xf numFmtId="178" fontId="17" fillId="0" borderId="0" xfId="0" applyNumberFormat="1" applyFont="1" applyBorder="1" applyAlignment="1" applyProtection="1">
      <alignment horizontal="center"/>
    </xf>
    <xf numFmtId="10" fontId="17" fillId="0" borderId="0" xfId="0" applyNumberFormat="1" applyFont="1" applyBorder="1" applyProtection="1"/>
    <xf numFmtId="10" fontId="17" fillId="0" borderId="0" xfId="0" applyNumberFormat="1" applyFont="1" applyBorder="1"/>
    <xf numFmtId="10" fontId="21" fillId="0" borderId="0" xfId="0" applyNumberFormat="1" applyFont="1" applyFill="1" applyBorder="1" applyAlignment="1" applyProtection="1"/>
    <xf numFmtId="0" fontId="77" fillId="0" borderId="0" xfId="0" applyFont="1" applyFill="1"/>
    <xf numFmtId="0" fontId="17" fillId="0" borderId="0" xfId="0" applyFont="1" applyFill="1" applyBorder="1" applyAlignment="1" applyProtection="1">
      <alignment horizontal="left"/>
    </xf>
    <xf numFmtId="178" fontId="17" fillId="0" borderId="0" xfId="0" applyNumberFormat="1" applyFont="1" applyFill="1" applyBorder="1" applyAlignment="1" applyProtection="1">
      <alignment horizontal="center"/>
    </xf>
    <xf numFmtId="0" fontId="17" fillId="0" borderId="0" xfId="0" applyNumberFormat="1" applyFont="1" applyFill="1" applyBorder="1" applyProtection="1"/>
    <xf numFmtId="10" fontId="17" fillId="0" borderId="0" xfId="0" applyNumberFormat="1" applyFont="1" applyFill="1" applyBorder="1" applyProtection="1"/>
    <xf numFmtId="0" fontId="17" fillId="0" borderId="0" xfId="0" applyFont="1" applyFill="1"/>
    <xf numFmtId="10" fontId="17" fillId="0" borderId="0" xfId="0" applyNumberFormat="1" applyFont="1" applyFill="1" applyBorder="1"/>
    <xf numFmtId="0" fontId="21" fillId="0" borderId="0" xfId="0" quotePrefix="1" applyFont="1" applyFill="1" applyBorder="1" applyAlignment="1" applyProtection="1">
      <alignment horizontal="left"/>
    </xf>
    <xf numFmtId="0" fontId="77" fillId="0" borderId="0" xfId="0" applyFont="1"/>
    <xf numFmtId="0" fontId="17" fillId="13" borderId="0" xfId="0" applyFont="1" applyFill="1"/>
    <xf numFmtId="0" fontId="77" fillId="0" borderId="0" xfId="0" quotePrefix="1" applyFont="1" applyAlignment="1">
      <alignment horizontal="left"/>
    </xf>
    <xf numFmtId="10" fontId="17" fillId="0" borderId="0" xfId="6" applyNumberFormat="1" applyFont="1"/>
    <xf numFmtId="0" fontId="18" fillId="0" borderId="0" xfId="0" quotePrefix="1" applyFont="1" applyAlignment="1">
      <alignment horizontal="left"/>
    </xf>
    <xf numFmtId="0" fontId="17" fillId="0" borderId="0" xfId="0" quotePrefix="1" applyFont="1" applyAlignment="1">
      <alignment horizontal="left"/>
    </xf>
    <xf numFmtId="0" fontId="18" fillId="0" borderId="0" xfId="0" applyFont="1" applyAlignment="1">
      <alignment horizontal="center"/>
    </xf>
    <xf numFmtId="0" fontId="17" fillId="13" borderId="0" xfId="0" applyFont="1" applyFill="1" applyAlignment="1"/>
    <xf numFmtId="181" fontId="23" fillId="0" borderId="0" xfId="1" applyNumberFormat="1" applyFont="1"/>
    <xf numFmtId="165" fontId="27" fillId="0" borderId="0" xfId="1" applyNumberFormat="1" applyFont="1" applyFill="1" applyBorder="1"/>
    <xf numFmtId="165" fontId="27" fillId="0" borderId="16" xfId="1" applyNumberFormat="1" applyFont="1" applyFill="1" applyBorder="1"/>
    <xf numFmtId="0" fontId="27" fillId="0" borderId="0" xfId="7" applyFont="1" applyFill="1" applyBorder="1" applyAlignment="1">
      <alignment horizontal="left" indent="1"/>
    </xf>
    <xf numFmtId="0" fontId="27" fillId="4" borderId="4" xfId="7" applyFont="1" applyFill="1" applyBorder="1" applyAlignment="1">
      <alignment horizontal="left" indent="1"/>
    </xf>
    <xf numFmtId="0" fontId="64" fillId="9" borderId="141" xfId="7" applyFont="1" applyFill="1" applyBorder="1" applyAlignment="1">
      <alignment horizontal="center"/>
    </xf>
    <xf numFmtId="0" fontId="47" fillId="9" borderId="142" xfId="7" applyFont="1" applyFill="1" applyBorder="1" applyAlignment="1">
      <alignment horizontal="center" vertical="center" textRotation="90"/>
    </xf>
    <xf numFmtId="0" fontId="27" fillId="4" borderId="94" xfId="7" applyFont="1" applyFill="1" applyBorder="1" applyAlignment="1">
      <alignment horizontal="left" indent="1"/>
    </xf>
    <xf numFmtId="165" fontId="27" fillId="4" borderId="143" xfId="1" applyNumberFormat="1" applyFont="1" applyFill="1" applyBorder="1"/>
    <xf numFmtId="165" fontId="27" fillId="4" borderId="94" xfId="1" applyNumberFormat="1" applyFont="1" applyFill="1" applyBorder="1"/>
    <xf numFmtId="176" fontId="49" fillId="0" borderId="0" xfId="1" applyNumberFormat="1" applyFont="1" applyAlignment="1">
      <alignment horizontal="right"/>
    </xf>
    <xf numFmtId="165" fontId="23" fillId="0" borderId="0" xfId="1" applyNumberFormat="1" applyFont="1" applyFill="1" applyBorder="1" applyAlignment="1"/>
    <xf numFmtId="0" fontId="64" fillId="9" borderId="7" xfId="7" applyFont="1" applyFill="1" applyBorder="1" applyAlignment="1">
      <alignment horizontal="center"/>
    </xf>
    <xf numFmtId="0" fontId="47" fillId="9" borderId="8" xfId="7" applyFont="1" applyFill="1" applyBorder="1" applyAlignment="1">
      <alignment horizontal="center" vertical="center" textRotation="90"/>
    </xf>
    <xf numFmtId="0" fontId="26" fillId="0" borderId="0" xfId="0" applyFont="1"/>
    <xf numFmtId="0" fontId="26" fillId="0" borderId="0" xfId="0" applyFont="1" applyAlignment="1">
      <alignment horizontal="right"/>
    </xf>
    <xf numFmtId="165" fontId="26" fillId="0" borderId="0" xfId="1" applyNumberFormat="1" applyFont="1"/>
    <xf numFmtId="0" fontId="78" fillId="16" borderId="4" xfId="0" applyFont="1" applyFill="1" applyBorder="1" applyAlignment="1">
      <alignment horizontal="center"/>
    </xf>
    <xf numFmtId="0" fontId="26" fillId="0" borderId="0" xfId="0" applyFont="1" applyFill="1" applyBorder="1"/>
    <xf numFmtId="0" fontId="78" fillId="0" borderId="0" xfId="0" applyFont="1"/>
    <xf numFmtId="0" fontId="26" fillId="0" borderId="15" xfId="0" applyFont="1" applyBorder="1"/>
    <xf numFmtId="0" fontId="79" fillId="0" borderId="0" xfId="0" applyFont="1"/>
    <xf numFmtId="0" fontId="26" fillId="0" borderId="0" xfId="0" applyFont="1" applyBorder="1"/>
    <xf numFmtId="165" fontId="26" fillId="0" borderId="0" xfId="1" applyNumberFormat="1" applyFont="1" applyBorder="1"/>
    <xf numFmtId="0" fontId="26" fillId="0" borderId="0" xfId="0" applyFont="1" applyFill="1"/>
    <xf numFmtId="0" fontId="47" fillId="9" borderId="57" xfId="7" applyFont="1" applyFill="1" applyBorder="1" applyAlignment="1">
      <alignment horizontal="center" vertical="center" textRotation="90"/>
    </xf>
    <xf numFmtId="0" fontId="66" fillId="0" borderId="4" xfId="7" applyFont="1" applyBorder="1"/>
    <xf numFmtId="165" fontId="23" fillId="19" borderId="16" xfId="1" applyNumberFormat="1" applyFont="1" applyFill="1" applyBorder="1"/>
    <xf numFmtId="0" fontId="26" fillId="0" borderId="0" xfId="0" applyFont="1" applyFill="1" applyAlignment="1">
      <alignment horizontal="center"/>
    </xf>
    <xf numFmtId="41" fontId="26" fillId="0" borderId="0" xfId="0" applyNumberFormat="1" applyFont="1"/>
    <xf numFmtId="0" fontId="80" fillId="0" borderId="0" xfId="0" applyFont="1"/>
    <xf numFmtId="0" fontId="81" fillId="0" borderId="0" xfId="0" applyFont="1"/>
    <xf numFmtId="9" fontId="26" fillId="0" borderId="0" xfId="0" applyNumberFormat="1" applyFont="1" applyFill="1" applyBorder="1"/>
    <xf numFmtId="0" fontId="78" fillId="5" borderId="4" xfId="0" applyFont="1" applyFill="1" applyBorder="1"/>
    <xf numFmtId="41" fontId="78" fillId="5" borderId="4" xfId="0" applyNumberFormat="1" applyFont="1" applyFill="1" applyBorder="1" applyAlignment="1">
      <alignment horizontal="center"/>
    </xf>
    <xf numFmtId="0" fontId="78" fillId="5" borderId="4" xfId="0" applyNumberFormat="1" applyFont="1" applyFill="1" applyBorder="1" applyAlignment="1">
      <alignment horizontal="center" wrapText="1" readingOrder="1"/>
    </xf>
    <xf numFmtId="41" fontId="26" fillId="5" borderId="4" xfId="0" applyNumberFormat="1" applyFont="1" applyFill="1" applyBorder="1" applyAlignment="1">
      <alignment horizontal="center"/>
    </xf>
    <xf numFmtId="0" fontId="26" fillId="5" borderId="4" xfId="0" applyFont="1" applyFill="1" applyBorder="1"/>
    <xf numFmtId="41" fontId="78" fillId="0" borderId="0" xfId="0" applyNumberFormat="1" applyFont="1" applyFill="1" applyBorder="1" applyAlignment="1">
      <alignment horizontal="center"/>
    </xf>
    <xf numFmtId="0" fontId="78" fillId="0" borderId="0" xfId="0" applyNumberFormat="1" applyFont="1" applyFill="1" applyBorder="1" applyAlignment="1">
      <alignment horizontal="center" wrapText="1" readingOrder="1"/>
    </xf>
    <xf numFmtId="41" fontId="26" fillId="0" borderId="0" xfId="0" applyNumberFormat="1" applyFont="1" applyFill="1" applyBorder="1" applyAlignment="1">
      <alignment horizontal="center"/>
    </xf>
    <xf numFmtId="43" fontId="26" fillId="0" borderId="0" xfId="0" applyNumberFormat="1" applyFont="1" applyBorder="1"/>
    <xf numFmtId="165" fontId="26" fillId="0" borderId="0" xfId="1" applyNumberFormat="1" applyFont="1" applyFill="1" applyBorder="1"/>
    <xf numFmtId="165" fontId="26" fillId="0" borderId="0" xfId="0" applyNumberFormat="1" applyFont="1" applyBorder="1"/>
    <xf numFmtId="0" fontId="26" fillId="0" borderId="0" xfId="0" applyNumberFormat="1" applyFont="1" applyFill="1" applyBorder="1" applyAlignment="1">
      <alignment horizontal="center" wrapText="1" readingOrder="1"/>
    </xf>
    <xf numFmtId="9" fontId="79" fillId="0" borderId="0" xfId="6" applyFont="1" applyFill="1" applyBorder="1" applyAlignment="1">
      <alignment horizontal="right"/>
    </xf>
    <xf numFmtId="41" fontId="26" fillId="0" borderId="0" xfId="0" applyNumberFormat="1" applyFont="1" applyFill="1" applyBorder="1"/>
    <xf numFmtId="165" fontId="26" fillId="0" borderId="0" xfId="1" applyNumberFormat="1" applyFont="1" applyFill="1" applyBorder="1" applyAlignment="1">
      <alignment horizontal="right"/>
    </xf>
    <xf numFmtId="165" fontId="26" fillId="0" borderId="0" xfId="0" applyNumberFormat="1" applyFont="1"/>
    <xf numFmtId="43" fontId="26" fillId="0" borderId="0" xfId="0" applyNumberFormat="1" applyFont="1"/>
    <xf numFmtId="0" fontId="78" fillId="0" borderId="0" xfId="0" applyFont="1" applyFill="1" applyBorder="1" applyAlignment="1"/>
    <xf numFmtId="177" fontId="26" fillId="0" borderId="16" xfId="0" applyNumberFormat="1" applyFont="1" applyFill="1" applyBorder="1"/>
    <xf numFmtId="9" fontId="26" fillId="0" borderId="0" xfId="1" applyNumberFormat="1" applyFont="1" applyBorder="1" applyAlignment="1">
      <alignment horizontal="left" indent="1"/>
    </xf>
    <xf numFmtId="41" fontId="26" fillId="0" borderId="0" xfId="1" applyNumberFormat="1" applyFont="1" applyBorder="1" applyAlignment="1">
      <alignment horizontal="left" indent="1"/>
    </xf>
    <xf numFmtId="0" fontId="83" fillId="6" borderId="14" xfId="0" applyFont="1" applyFill="1" applyBorder="1" applyAlignment="1">
      <alignment horizontal="center"/>
    </xf>
    <xf numFmtId="0" fontId="26" fillId="5" borderId="4" xfId="0" applyFont="1" applyFill="1" applyBorder="1" applyAlignment="1">
      <alignment horizontal="center"/>
    </xf>
    <xf numFmtId="0" fontId="26" fillId="5" borderId="4" xfId="0" applyFont="1" applyFill="1" applyBorder="1" applyAlignment="1"/>
    <xf numFmtId="165" fontId="26" fillId="0" borderId="0" xfId="1" applyNumberFormat="1" applyFont="1" applyBorder="1" applyAlignment="1">
      <alignment horizontal="right"/>
    </xf>
    <xf numFmtId="43" fontId="26" fillId="0" borderId="0" xfId="1" applyFont="1" applyBorder="1" applyAlignment="1">
      <alignment horizontal="left" indent="1"/>
    </xf>
    <xf numFmtId="165" fontId="26" fillId="0" borderId="0" xfId="1" applyNumberFormat="1" applyFont="1" applyBorder="1" applyAlignment="1">
      <alignment horizontal="left" indent="1"/>
    </xf>
    <xf numFmtId="0" fontId="26" fillId="0" borderId="0" xfId="0" applyFont="1" applyFill="1" applyBorder="1" applyAlignment="1">
      <alignment horizontal="center"/>
    </xf>
    <xf numFmtId="0" fontId="83" fillId="6" borderId="114" xfId="0" applyFont="1" applyFill="1" applyBorder="1" applyAlignment="1">
      <alignment horizontal="center"/>
    </xf>
    <xf numFmtId="0" fontId="83" fillId="0" borderId="0" xfId="0" applyFont="1" applyFill="1" applyBorder="1" applyAlignment="1">
      <alignment horizontal="center"/>
    </xf>
    <xf numFmtId="0" fontId="26" fillId="5" borderId="39" xfId="0" applyFont="1" applyFill="1" applyBorder="1"/>
    <xf numFmtId="0" fontId="26" fillId="0" borderId="0" xfId="0" applyFont="1" applyBorder="1" applyAlignment="1"/>
    <xf numFmtId="0" fontId="26" fillId="5" borderId="24" xfId="0" applyFont="1" applyFill="1" applyBorder="1" applyAlignment="1">
      <alignment horizontal="center"/>
    </xf>
    <xf numFmtId="165" fontId="26" fillId="0" borderId="23" xfId="1" applyNumberFormat="1" applyFont="1" applyBorder="1" applyAlignment="1">
      <alignment horizontal="right"/>
    </xf>
    <xf numFmtId="0" fontId="26" fillId="0" borderId="0" xfId="0" applyFont="1" applyBorder="1" applyAlignment="1">
      <alignment horizontal="left" indent="1"/>
    </xf>
    <xf numFmtId="165" fontId="78" fillId="0" borderId="4" xfId="1" applyNumberFormat="1" applyFont="1" applyBorder="1" applyAlignment="1">
      <alignment horizontal="right"/>
    </xf>
    <xf numFmtId="43" fontId="26" fillId="0" borderId="0" xfId="1" applyFont="1" applyBorder="1"/>
    <xf numFmtId="0" fontId="26" fillId="0" borderId="0" xfId="0" applyFont="1" applyFill="1" applyBorder="1" applyAlignment="1">
      <alignment wrapText="1"/>
    </xf>
    <xf numFmtId="0" fontId="26" fillId="0" borderId="0" xfId="0" applyFont="1" applyFill="1" applyAlignment="1"/>
    <xf numFmtId="0" fontId="26" fillId="0" borderId="0" xfId="0" applyFont="1" applyFill="1" applyBorder="1" applyAlignment="1"/>
    <xf numFmtId="0" fontId="26" fillId="0" borderId="2" xfId="0" applyFont="1" applyBorder="1"/>
    <xf numFmtId="0" fontId="26" fillId="5" borderId="26" xfId="0" applyFont="1" applyFill="1" applyBorder="1"/>
    <xf numFmtId="177" fontId="26" fillId="0" borderId="0" xfId="0" applyNumberFormat="1" applyFont="1" applyFill="1" applyBorder="1"/>
    <xf numFmtId="170" fontId="79" fillId="5" borderId="4" xfId="0" applyNumberFormat="1" applyFont="1" applyFill="1" applyBorder="1"/>
    <xf numFmtId="0" fontId="78" fillId="0" borderId="0" xfId="0" applyFont="1" applyFill="1" applyBorder="1" applyAlignment="1">
      <alignment horizontal="center"/>
    </xf>
    <xf numFmtId="9" fontId="26" fillId="0" borderId="0" xfId="6" applyFont="1" applyBorder="1"/>
    <xf numFmtId="0" fontId="78" fillId="5" borderId="4" xfId="0" applyFont="1" applyFill="1" applyBorder="1" applyAlignment="1">
      <alignment horizontal="center"/>
    </xf>
    <xf numFmtId="9" fontId="26" fillId="0" borderId="0" xfId="0" applyNumberFormat="1" applyFont="1"/>
    <xf numFmtId="44" fontId="26" fillId="0" borderId="0" xfId="3" applyFont="1" applyFill="1" applyBorder="1"/>
    <xf numFmtId="170" fontId="79" fillId="0" borderId="0" xfId="0" applyNumberFormat="1" applyFont="1" applyFill="1" applyBorder="1" applyAlignment="1">
      <alignment horizontal="right"/>
    </xf>
    <xf numFmtId="44" fontId="26" fillId="0" borderId="0" xfId="3" applyFont="1" applyFill="1" applyBorder="1" applyAlignment="1">
      <alignment horizontal="right"/>
    </xf>
    <xf numFmtId="0" fontId="26" fillId="0" borderId="0" xfId="0" applyFont="1" applyBorder="1" applyAlignment="1">
      <alignment horizontal="left" indent="2"/>
    </xf>
    <xf numFmtId="10" fontId="26" fillId="0" borderId="0" xfId="0" applyNumberFormat="1" applyFont="1" applyFill="1" applyBorder="1" applyAlignment="1">
      <alignment horizontal="center" vertical="center" wrapText="1"/>
    </xf>
    <xf numFmtId="0" fontId="83" fillId="6" borderId="1" xfId="0" applyFont="1" applyFill="1" applyBorder="1" applyAlignment="1">
      <alignment horizontal="center"/>
    </xf>
    <xf numFmtId="0" fontId="83" fillId="6" borderId="148" xfId="0" applyFont="1" applyFill="1" applyBorder="1" applyAlignment="1">
      <alignment horizontal="center"/>
    </xf>
    <xf numFmtId="165" fontId="78" fillId="17" borderId="4" xfId="1" applyNumberFormat="1" applyFont="1" applyFill="1" applyBorder="1" applyAlignment="1">
      <alignment horizontal="right"/>
    </xf>
    <xf numFmtId="0" fontId="83" fillId="6" borderId="149" xfId="0" applyFont="1" applyFill="1" applyBorder="1" applyAlignment="1">
      <alignment horizontal="center"/>
    </xf>
    <xf numFmtId="0" fontId="83" fillId="6" borderId="150" xfId="0" applyFont="1" applyFill="1" applyBorder="1" applyAlignment="1">
      <alignment horizontal="center"/>
    </xf>
    <xf numFmtId="165" fontId="26" fillId="20" borderId="4" xfId="1" applyNumberFormat="1" applyFont="1" applyFill="1" applyBorder="1" applyAlignment="1">
      <alignment horizontal="right"/>
    </xf>
    <xf numFmtId="165" fontId="78" fillId="0" borderId="4" xfId="1" applyNumberFormat="1" applyFont="1" applyFill="1" applyBorder="1" applyAlignment="1">
      <alignment horizontal="right"/>
    </xf>
    <xf numFmtId="41" fontId="78" fillId="5" borderId="152" xfId="0" applyNumberFormat="1" applyFont="1" applyFill="1" applyBorder="1" applyAlignment="1">
      <alignment horizontal="center"/>
    </xf>
    <xf numFmtId="170" fontId="79" fillId="5" borderId="14" xfId="0" applyNumberFormat="1" applyFont="1" applyFill="1" applyBorder="1"/>
    <xf numFmtId="10" fontId="26" fillId="0" borderId="0" xfId="0" applyNumberFormat="1" applyFont="1" applyBorder="1"/>
    <xf numFmtId="9" fontId="26" fillId="0" borderId="3" xfId="0" applyNumberFormat="1" applyFont="1" applyBorder="1"/>
    <xf numFmtId="10" fontId="26" fillId="0" borderId="0" xfId="6" applyNumberFormat="1" applyFont="1" applyFill="1" applyBorder="1" applyAlignment="1">
      <alignment horizontal="right"/>
    </xf>
    <xf numFmtId="10" fontId="26" fillId="0" borderId="2" xfId="6" applyNumberFormat="1" applyFont="1" applyFill="1" applyBorder="1" applyAlignment="1">
      <alignment horizontal="right"/>
    </xf>
    <xf numFmtId="0" fontId="26" fillId="0" borderId="22" xfId="0" applyFont="1" applyBorder="1"/>
    <xf numFmtId="49" fontId="26" fillId="0" borderId="0" xfId="1" applyNumberFormat="1" applyFont="1" applyBorder="1" applyAlignment="1">
      <alignment horizontal="left"/>
    </xf>
    <xf numFmtId="49" fontId="26" fillId="0" borderId="0" xfId="0" applyNumberFormat="1" applyFont="1"/>
    <xf numFmtId="49" fontId="80" fillId="0" borderId="0" xfId="0" applyNumberFormat="1" applyFont="1"/>
    <xf numFmtId="49" fontId="81" fillId="0" borderId="0" xfId="0" applyNumberFormat="1" applyFont="1"/>
    <xf numFmtId="49" fontId="26" fillId="5" borderId="50" xfId="0" applyNumberFormat="1" applyFont="1" applyFill="1" applyBorder="1"/>
    <xf numFmtId="49" fontId="26" fillId="0" borderId="0" xfId="0" applyNumberFormat="1" applyFont="1" applyFill="1" applyBorder="1"/>
    <xf numFmtId="49" fontId="78" fillId="5" borderId="14" xfId="0" applyNumberFormat="1" applyFont="1" applyFill="1" applyBorder="1"/>
    <xf numFmtId="49" fontId="26" fillId="0" borderId="0" xfId="0" applyNumberFormat="1" applyFont="1" applyBorder="1"/>
    <xf numFmtId="49" fontId="26" fillId="0" borderId="3" xfId="0" applyNumberFormat="1" applyFont="1" applyBorder="1"/>
    <xf numFmtId="49" fontId="26" fillId="0" borderId="0" xfId="0" applyNumberFormat="1" applyFont="1" applyFill="1" applyBorder="1" applyAlignment="1">
      <alignment horizontal="left"/>
    </xf>
    <xf numFmtId="49" fontId="26" fillId="0" borderId="2" xfId="0" applyNumberFormat="1" applyFont="1" applyFill="1" applyBorder="1" applyAlignment="1">
      <alignment horizontal="left"/>
    </xf>
    <xf numFmtId="49" fontId="26" fillId="5" borderId="4" xfId="0" applyNumberFormat="1" applyFont="1" applyFill="1" applyBorder="1"/>
    <xf numFmtId="49" fontId="83" fillId="6" borderId="1" xfId="0" applyNumberFormat="1" applyFont="1" applyFill="1" applyBorder="1" applyAlignment="1">
      <alignment horizontal="center"/>
    </xf>
    <xf numFmtId="49" fontId="26" fillId="0" borderId="0" xfId="0" applyNumberFormat="1" applyFont="1" applyBorder="1" applyAlignment="1">
      <alignment horizontal="left"/>
    </xf>
    <xf numFmtId="49" fontId="78" fillId="17" borderId="4" xfId="0" applyNumberFormat="1" applyFont="1" applyFill="1" applyBorder="1" applyAlignment="1">
      <alignment horizontal="left" indent="1"/>
    </xf>
    <xf numFmtId="49" fontId="83" fillId="6" borderId="150" xfId="0" applyNumberFormat="1" applyFont="1" applyFill="1" applyBorder="1" applyAlignment="1">
      <alignment horizontal="center"/>
    </xf>
    <xf numFmtId="49" fontId="26" fillId="20" borderId="4" xfId="0" applyNumberFormat="1" applyFont="1" applyFill="1" applyBorder="1"/>
    <xf numFmtId="49" fontId="78" fillId="0" borderId="4" xfId="0" applyNumberFormat="1" applyFont="1" applyFill="1" applyBorder="1" applyAlignment="1">
      <alignment horizontal="left" indent="1"/>
    </xf>
    <xf numFmtId="49" fontId="26" fillId="0" borderId="0" xfId="0" applyNumberFormat="1" applyFont="1" applyBorder="1" applyAlignment="1">
      <alignment horizontal="left" indent="1"/>
    </xf>
    <xf numFmtId="43" fontId="26" fillId="0" borderId="0" xfId="1" applyFont="1"/>
    <xf numFmtId="0" fontId="84" fillId="0" borderId="0" xfId="0" applyFont="1" applyAlignment="1">
      <alignment horizontal="right"/>
    </xf>
    <xf numFmtId="167" fontId="26" fillId="0" borderId="134" xfId="0" applyNumberFormat="1" applyFont="1" applyBorder="1"/>
    <xf numFmtId="167" fontId="26" fillId="0" borderId="129" xfId="0" applyNumberFormat="1" applyFont="1" applyBorder="1"/>
    <xf numFmtId="0" fontId="26" fillId="5" borderId="40" xfId="0" applyFont="1" applyFill="1" applyBorder="1" applyAlignment="1">
      <alignment horizontal="center"/>
    </xf>
    <xf numFmtId="0" fontId="26" fillId="5" borderId="41" xfId="0" applyFont="1" applyFill="1" applyBorder="1"/>
    <xf numFmtId="0" fontId="81" fillId="5" borderId="23" xfId="0" applyFont="1" applyFill="1" applyBorder="1" applyAlignment="1">
      <alignment horizontal="center"/>
    </xf>
    <xf numFmtId="0" fontId="26" fillId="5" borderId="39" xfId="0" applyFont="1" applyFill="1" applyBorder="1" applyAlignment="1">
      <alignment horizontal="center"/>
    </xf>
    <xf numFmtId="180" fontId="26" fillId="5" borderId="23" xfId="0" applyNumberFormat="1" applyFont="1" applyFill="1" applyBorder="1" applyAlignment="1">
      <alignment horizontal="center"/>
    </xf>
    <xf numFmtId="0" fontId="78" fillId="0" borderId="135" xfId="0" applyFont="1" applyFill="1" applyBorder="1" applyAlignment="1"/>
    <xf numFmtId="165" fontId="26" fillId="0" borderId="131" xfId="1" applyNumberFormat="1" applyFont="1" applyFill="1" applyBorder="1"/>
    <xf numFmtId="165" fontId="78" fillId="16" borderId="136" xfId="0" applyNumberFormat="1" applyFont="1" applyFill="1" applyBorder="1"/>
    <xf numFmtId="0" fontId="26" fillId="7" borderId="127" xfId="0" applyFont="1" applyFill="1" applyBorder="1" applyAlignment="1">
      <alignment horizontal="center"/>
    </xf>
    <xf numFmtId="0" fontId="26" fillId="7" borderId="101" xfId="0" applyFont="1" applyFill="1" applyBorder="1"/>
    <xf numFmtId="0" fontId="26" fillId="7" borderId="100" xfId="0" applyFont="1" applyFill="1" applyBorder="1"/>
    <xf numFmtId="168" fontId="79" fillId="0" borderId="127" xfId="1" applyNumberFormat="1" applyFont="1" applyFill="1" applyBorder="1" applyAlignment="1"/>
    <xf numFmtId="165" fontId="26" fillId="0" borderId="101" xfId="0" applyNumberFormat="1" applyFont="1" applyBorder="1"/>
    <xf numFmtId="0" fontId="26" fillId="0" borderId="129" xfId="0" applyFont="1" applyBorder="1"/>
    <xf numFmtId="0" fontId="26" fillId="0" borderId="0" xfId="0" applyFont="1" applyFill="1" applyBorder="1" applyAlignment="1">
      <alignment horizontal="left" indent="5"/>
    </xf>
    <xf numFmtId="9" fontId="26" fillId="0" borderId="0" xfId="6" applyFont="1"/>
    <xf numFmtId="0" fontId="78" fillId="5" borderId="26" xfId="0" applyFont="1" applyFill="1" applyBorder="1"/>
    <xf numFmtId="0" fontId="78" fillId="0" borderId="154" xfId="0" applyFont="1" applyFill="1" applyBorder="1" applyAlignment="1"/>
    <xf numFmtId="0" fontId="26" fillId="7" borderId="132" xfId="0" applyFont="1" applyFill="1" applyBorder="1" applyAlignment="1"/>
    <xf numFmtId="0" fontId="26" fillId="0" borderId="132" xfId="0" applyFont="1" applyBorder="1" applyAlignment="1">
      <alignment horizontal="left" indent="1"/>
    </xf>
    <xf numFmtId="0" fontId="26" fillId="0" borderId="133" xfId="0" applyFont="1" applyFill="1" applyBorder="1" applyAlignment="1">
      <alignment horizontal="left"/>
    </xf>
    <xf numFmtId="0" fontId="26" fillId="5" borderId="157" xfId="0" applyFont="1" applyFill="1" applyBorder="1"/>
    <xf numFmtId="0" fontId="26" fillId="5" borderId="24" xfId="0" applyFont="1" applyFill="1" applyBorder="1"/>
    <xf numFmtId="0" fontId="26" fillId="7" borderId="160" xfId="0" applyFont="1" applyFill="1" applyBorder="1"/>
    <xf numFmtId="0" fontId="26" fillId="0" borderId="162" xfId="0" applyFont="1" applyBorder="1" applyAlignment="1"/>
    <xf numFmtId="0" fontId="26" fillId="0" borderId="155" xfId="0" applyFont="1" applyBorder="1" applyAlignment="1"/>
    <xf numFmtId="0" fontId="26" fillId="0" borderId="163" xfId="0" applyFont="1" applyBorder="1" applyAlignment="1"/>
    <xf numFmtId="0" fontId="26" fillId="0" borderId="133" xfId="0" applyFont="1" applyBorder="1" applyAlignment="1"/>
    <xf numFmtId="0" fontId="78" fillId="7" borderId="5" xfId="0" applyFont="1" applyFill="1" applyBorder="1" applyAlignment="1"/>
    <xf numFmtId="0" fontId="78" fillId="7" borderId="13" xfId="0" applyFont="1" applyFill="1" applyBorder="1" applyAlignment="1"/>
    <xf numFmtId="0" fontId="78" fillId="7" borderId="6" xfId="0" applyFont="1" applyFill="1" applyBorder="1" applyAlignment="1"/>
    <xf numFmtId="0" fontId="83" fillId="6" borderId="14" xfId="0" applyFont="1" applyFill="1" applyBorder="1" applyAlignment="1">
      <alignment horizontal="left"/>
    </xf>
    <xf numFmtId="165" fontId="26" fillId="0" borderId="133" xfId="1" applyNumberFormat="1" applyFont="1" applyFill="1" applyBorder="1"/>
    <xf numFmtId="165" fontId="78" fillId="0" borderId="128" xfId="0" applyNumberFormat="1" applyFont="1" applyBorder="1"/>
    <xf numFmtId="165" fontId="78" fillId="0" borderId="161" xfId="0" applyNumberFormat="1" applyFont="1" applyBorder="1"/>
    <xf numFmtId="165" fontId="78" fillId="0" borderId="126" xfId="0" applyNumberFormat="1" applyFont="1" applyBorder="1"/>
    <xf numFmtId="165" fontId="78" fillId="0" borderId="158" xfId="0" applyNumberFormat="1" applyFont="1" applyBorder="1"/>
    <xf numFmtId="0" fontId="23" fillId="19" borderId="0" xfId="7" applyFont="1" applyFill="1"/>
    <xf numFmtId="8" fontId="23" fillId="0" borderId="3" xfId="7" applyNumberFormat="1" applyFont="1" applyBorder="1"/>
    <xf numFmtId="41" fontId="23" fillId="0" borderId="19" xfId="1" applyNumberFormat="1" applyFont="1" applyBorder="1"/>
    <xf numFmtId="41" fontId="23" fillId="0" borderId="55" xfId="1" applyNumberFormat="1" applyFont="1" applyBorder="1"/>
    <xf numFmtId="41" fontId="27" fillId="4" borderId="97" xfId="1" applyNumberFormat="1" applyFont="1" applyFill="1" applyBorder="1"/>
    <xf numFmtId="41" fontId="27" fillId="4" borderId="93" xfId="1" applyNumberFormat="1" applyFont="1" applyFill="1" applyBorder="1"/>
    <xf numFmtId="0" fontId="78" fillId="0" borderId="0" xfId="0" applyFont="1" applyBorder="1"/>
    <xf numFmtId="0" fontId="84" fillId="0" borderId="0" xfId="0" applyFont="1"/>
    <xf numFmtId="166" fontId="26" fillId="0" borderId="47" xfId="3" applyNumberFormat="1" applyFont="1" applyBorder="1"/>
    <xf numFmtId="9" fontId="26" fillId="0" borderId="0" xfId="6" applyNumberFormat="1" applyFont="1" applyBorder="1"/>
    <xf numFmtId="166" fontId="26" fillId="0" borderId="0" xfId="3" applyNumberFormat="1" applyFont="1" applyBorder="1"/>
    <xf numFmtId="0" fontId="85" fillId="0" borderId="0" xfId="0" applyFont="1" applyBorder="1"/>
    <xf numFmtId="0" fontId="83" fillId="6" borderId="94" xfId="0" applyFont="1" applyFill="1" applyBorder="1"/>
    <xf numFmtId="0" fontId="81" fillId="6" borderId="94" xfId="0" applyFont="1" applyFill="1" applyBorder="1"/>
    <xf numFmtId="0" fontId="81" fillId="6" borderId="96" xfId="0" applyFont="1" applyFill="1" applyBorder="1" applyAlignment="1">
      <alignment horizontal="center"/>
    </xf>
    <xf numFmtId="0" fontId="81" fillId="6" borderId="94" xfId="0" applyFont="1" applyFill="1" applyBorder="1" applyAlignment="1">
      <alignment horizontal="center"/>
    </xf>
    <xf numFmtId="0" fontId="78" fillId="5" borderId="3" xfId="0" applyFont="1" applyFill="1" applyBorder="1" applyAlignment="1">
      <alignment horizontal="left" indent="3"/>
    </xf>
    <xf numFmtId="0" fontId="78" fillId="5" borderId="3" xfId="0" applyFont="1" applyFill="1" applyBorder="1"/>
    <xf numFmtId="166" fontId="78" fillId="5" borderId="48" xfId="3" applyNumberFormat="1" applyFont="1" applyFill="1" applyBorder="1"/>
    <xf numFmtId="166" fontId="78" fillId="5" borderId="18" xfId="3" applyNumberFormat="1" applyFont="1" applyFill="1" applyBorder="1"/>
    <xf numFmtId="0" fontId="26" fillId="0" borderId="22" xfId="0" applyFont="1" applyBorder="1" applyAlignment="1">
      <alignment horizontal="left" indent="1"/>
    </xf>
    <xf numFmtId="166" fontId="26" fillId="0" borderId="98" xfId="3" applyNumberFormat="1" applyFont="1" applyBorder="1"/>
    <xf numFmtId="166" fontId="26" fillId="0" borderId="22" xfId="3" applyNumberFormat="1" applyFont="1" applyBorder="1"/>
    <xf numFmtId="0" fontId="78" fillId="5" borderId="2" xfId="0" applyFont="1" applyFill="1" applyBorder="1" applyAlignment="1">
      <alignment horizontal="left" indent="3"/>
    </xf>
    <xf numFmtId="0" fontId="78" fillId="5" borderId="2" xfId="0" applyFont="1" applyFill="1" applyBorder="1"/>
    <xf numFmtId="166" fontId="78" fillId="5" borderId="144" xfId="3" applyNumberFormat="1" applyFont="1" applyFill="1" applyBorder="1"/>
    <xf numFmtId="166" fontId="78" fillId="5" borderId="2" xfId="3" applyNumberFormat="1" applyFont="1" applyFill="1" applyBorder="1"/>
    <xf numFmtId="9" fontId="26" fillId="0" borderId="22" xfId="6" applyNumberFormat="1" applyFont="1" applyBorder="1"/>
    <xf numFmtId="41" fontId="23" fillId="0" borderId="47" xfId="8" applyNumberFormat="1" applyFont="1" applyBorder="1"/>
    <xf numFmtId="41" fontId="23" fillId="0" borderId="9" xfId="8" applyNumberFormat="1" applyFont="1" applyBorder="1"/>
    <xf numFmtId="41" fontId="23" fillId="0" borderId="10" xfId="8" applyNumberFormat="1" applyFont="1" applyBorder="1"/>
    <xf numFmtId="41" fontId="27" fillId="4" borderId="11" xfId="8" applyNumberFormat="1" applyFont="1" applyFill="1" applyBorder="1"/>
    <xf numFmtId="41" fontId="27" fillId="4" borderId="59" xfId="8" applyNumberFormat="1" applyFont="1" applyFill="1" applyBorder="1"/>
    <xf numFmtId="41" fontId="27" fillId="0" borderId="47" xfId="8" applyNumberFormat="1" applyFont="1" applyFill="1" applyBorder="1"/>
    <xf numFmtId="41" fontId="27" fillId="0" borderId="9" xfId="8" applyNumberFormat="1" applyFont="1" applyFill="1" applyBorder="1"/>
    <xf numFmtId="41" fontId="27" fillId="4" borderId="144" xfId="8" applyNumberFormat="1" applyFont="1" applyFill="1" applyBorder="1"/>
    <xf numFmtId="41" fontId="27" fillId="4" borderId="93" xfId="8" applyNumberFormat="1" applyFont="1" applyFill="1" applyBorder="1"/>
    <xf numFmtId="0" fontId="83" fillId="6" borderId="7" xfId="7" applyFont="1" applyFill="1" applyBorder="1" applyAlignment="1">
      <alignment horizontal="right"/>
    </xf>
    <xf numFmtId="0" fontId="83" fillId="6" borderId="1" xfId="7" applyFont="1" applyFill="1" applyBorder="1" applyAlignment="1">
      <alignment horizontal="center"/>
    </xf>
    <xf numFmtId="0" fontId="83" fillId="6" borderId="102" xfId="7" applyFont="1" applyFill="1" applyBorder="1" applyAlignment="1">
      <alignment horizontal="center"/>
    </xf>
    <xf numFmtId="179" fontId="83" fillId="6" borderId="103" xfId="7" applyNumberFormat="1" applyFont="1" applyFill="1" applyBorder="1" applyAlignment="1">
      <alignment horizontal="center"/>
    </xf>
    <xf numFmtId="0" fontId="78" fillId="0" borderId="0" xfId="7" applyFont="1"/>
    <xf numFmtId="0" fontId="26" fillId="5" borderId="59" xfId="7" applyFont="1" applyFill="1" applyBorder="1"/>
    <xf numFmtId="0" fontId="26" fillId="5" borderId="3" xfId="7" applyFont="1" applyFill="1" applyBorder="1"/>
    <xf numFmtId="180" fontId="26" fillId="5" borderId="3" xfId="7" applyNumberFormat="1" applyFont="1" applyFill="1" applyBorder="1" applyAlignment="1">
      <alignment horizontal="center"/>
    </xf>
    <xf numFmtId="0" fontId="26" fillId="5" borderId="61" xfId="7" applyFont="1" applyFill="1" applyBorder="1"/>
    <xf numFmtId="0" fontId="26" fillId="0" borderId="0" xfId="7" applyFont="1"/>
    <xf numFmtId="0" fontId="78" fillId="0" borderId="0" xfId="7" applyFont="1" applyAlignment="1">
      <alignment horizontal="left"/>
    </xf>
    <xf numFmtId="0" fontId="80" fillId="0" borderId="0" xfId="7" applyFont="1" applyFill="1" applyAlignment="1"/>
    <xf numFmtId="0" fontId="78" fillId="0" borderId="0" xfId="7" applyFont="1" applyAlignment="1"/>
    <xf numFmtId="165" fontId="26" fillId="0" borderId="0" xfId="7" applyNumberFormat="1" applyFont="1"/>
    <xf numFmtId="0" fontId="26" fillId="0" borderId="100" xfId="7" applyNumberFormat="1" applyFont="1" applyBorder="1" applyAlignment="1">
      <alignment horizontal="left" indent="1"/>
    </xf>
    <xf numFmtId="0" fontId="26" fillId="0" borderId="100" xfId="7" applyNumberFormat="1" applyFont="1" applyFill="1" applyBorder="1" applyAlignment="1">
      <alignment horizontal="left" indent="1"/>
    </xf>
    <xf numFmtId="0" fontId="26" fillId="5" borderId="8" xfId="7" applyFont="1" applyFill="1" applyBorder="1" applyAlignment="1">
      <alignment horizontal="left"/>
    </xf>
    <xf numFmtId="8" fontId="26" fillId="0" borderId="0" xfId="7" applyNumberFormat="1" applyFont="1"/>
    <xf numFmtId="0" fontId="26" fillId="0" borderId="0" xfId="7" applyFont="1" applyFill="1"/>
    <xf numFmtId="0" fontId="26" fillId="5" borderId="49" xfId="7" applyFont="1" applyFill="1" applyBorder="1"/>
    <xf numFmtId="0" fontId="26" fillId="0" borderId="104" xfId="7" applyNumberFormat="1" applyFont="1" applyFill="1" applyBorder="1" applyAlignment="1">
      <alignment horizontal="left" indent="1"/>
    </xf>
    <xf numFmtId="0" fontId="26" fillId="5" borderId="5" xfId="7" applyFont="1" applyFill="1" applyBorder="1" applyAlignment="1">
      <alignment horizontal="left"/>
    </xf>
    <xf numFmtId="165" fontId="18" fillId="0" borderId="0" xfId="1" applyNumberFormat="1" applyFont="1"/>
    <xf numFmtId="165" fontId="26" fillId="0" borderId="0" xfId="1" applyNumberFormat="1" applyFont="1" applyFill="1" applyBorder="1" applyAlignment="1"/>
    <xf numFmtId="0" fontId="27" fillId="0" borderId="0" xfId="0" applyFont="1" applyAlignment="1">
      <alignment horizontal="right"/>
    </xf>
    <xf numFmtId="0" fontId="80" fillId="0" borderId="0" xfId="7" applyFont="1" applyFill="1" applyAlignment="1">
      <alignment horizontal="right"/>
    </xf>
    <xf numFmtId="0" fontId="78" fillId="0" borderId="0" xfId="7" applyFont="1" applyAlignment="1">
      <alignment horizontal="right"/>
    </xf>
    <xf numFmtId="0" fontId="26" fillId="5" borderId="3" xfId="7" applyFont="1" applyFill="1" applyBorder="1" applyAlignment="1">
      <alignment horizontal="right"/>
    </xf>
    <xf numFmtId="0" fontId="26" fillId="0" borderId="0" xfId="7" applyFont="1" applyAlignment="1">
      <alignment horizontal="right"/>
    </xf>
    <xf numFmtId="165" fontId="26" fillId="0" borderId="0" xfId="1" applyNumberFormat="1" applyFont="1" applyAlignment="1">
      <alignment horizontal="right"/>
    </xf>
    <xf numFmtId="0" fontId="26" fillId="0" borderId="139" xfId="7" applyNumberFormat="1" applyFont="1" applyFill="1" applyBorder="1" applyAlignment="1">
      <alignment horizontal="left" indent="1"/>
    </xf>
    <xf numFmtId="0" fontId="26" fillId="0" borderId="167" xfId="7" applyNumberFormat="1" applyFont="1" applyFill="1" applyBorder="1" applyAlignment="1">
      <alignment horizontal="left" indent="1"/>
    </xf>
    <xf numFmtId="165" fontId="79" fillId="0" borderId="164" xfId="1" applyNumberFormat="1" applyFont="1" applyBorder="1" applyAlignment="1"/>
    <xf numFmtId="165" fontId="26" fillId="0" borderId="112" xfId="1" applyNumberFormat="1" applyFont="1" applyFill="1" applyBorder="1" applyAlignment="1"/>
    <xf numFmtId="165" fontId="26" fillId="0" borderId="111" xfId="1" applyNumberFormat="1" applyFont="1" applyFill="1" applyBorder="1" applyAlignment="1"/>
    <xf numFmtId="165" fontId="26" fillId="0" borderId="132" xfId="1" applyNumberFormat="1" applyFont="1" applyBorder="1" applyAlignment="1"/>
    <xf numFmtId="165" fontId="26" fillId="0" borderId="132" xfId="1" applyNumberFormat="1" applyFont="1" applyFill="1" applyBorder="1" applyAlignment="1"/>
    <xf numFmtId="165" fontId="26" fillId="0" borderId="156" xfId="1" applyNumberFormat="1" applyFont="1" applyFill="1" applyBorder="1" applyAlignment="1"/>
    <xf numFmtId="165" fontId="26" fillId="0" borderId="165" xfId="1" applyNumberFormat="1" applyFont="1" applyFill="1" applyBorder="1" applyAlignment="1"/>
    <xf numFmtId="165" fontId="26" fillId="0" borderId="166" xfId="1" applyNumberFormat="1" applyFont="1" applyFill="1" applyBorder="1" applyAlignment="1"/>
    <xf numFmtId="165" fontId="26" fillId="5" borderId="2" xfId="1" applyNumberFormat="1" applyFont="1" applyFill="1" applyBorder="1" applyAlignment="1"/>
    <xf numFmtId="165" fontId="26" fillId="5" borderId="144" xfId="1" applyNumberFormat="1" applyFont="1" applyFill="1" applyBorder="1" applyAlignment="1"/>
    <xf numFmtId="165" fontId="26" fillId="5" borderId="110" xfId="1" applyNumberFormat="1" applyFont="1" applyFill="1" applyBorder="1" applyAlignment="1"/>
    <xf numFmtId="0" fontId="87" fillId="0" borderId="1" xfId="7" applyFont="1" applyFill="1" applyBorder="1" applyAlignment="1"/>
    <xf numFmtId="165" fontId="26" fillId="0" borderId="1" xfId="1" applyNumberFormat="1" applyFont="1" applyFill="1" applyBorder="1" applyAlignment="1"/>
    <xf numFmtId="165" fontId="87" fillId="0" borderId="1" xfId="1" applyNumberFormat="1" applyFont="1" applyFill="1" applyBorder="1" applyAlignment="1"/>
    <xf numFmtId="165" fontId="87" fillId="0" borderId="105" xfId="1" applyNumberFormat="1" applyFont="1" applyFill="1" applyBorder="1" applyAlignment="1"/>
    <xf numFmtId="0" fontId="26" fillId="5" borderId="50" xfId="7" applyFont="1" applyFill="1" applyBorder="1" applyAlignment="1"/>
    <xf numFmtId="8" fontId="26" fillId="5" borderId="106" xfId="7" applyNumberFormat="1" applyFont="1" applyFill="1" applyBorder="1" applyAlignment="1"/>
    <xf numFmtId="8" fontId="26" fillId="5" borderId="107" xfId="7" applyNumberFormat="1" applyFont="1" applyFill="1" applyBorder="1" applyAlignment="1"/>
    <xf numFmtId="165" fontId="26" fillId="0" borderId="146" xfId="1" applyNumberFormat="1" applyFont="1" applyBorder="1" applyAlignment="1"/>
    <xf numFmtId="165" fontId="26" fillId="0" borderId="147" xfId="1" applyNumberFormat="1" applyFont="1" applyBorder="1" applyAlignment="1"/>
    <xf numFmtId="165" fontId="26" fillId="0" borderId="140" xfId="1" applyNumberFormat="1" applyFont="1" applyFill="1" applyBorder="1" applyAlignment="1"/>
    <xf numFmtId="165" fontId="26" fillId="0" borderId="0" xfId="1" applyNumberFormat="1" applyFont="1" applyAlignment="1"/>
    <xf numFmtId="165" fontId="26" fillId="5" borderId="13" xfId="1" applyNumberFormat="1" applyFont="1" applyFill="1" applyBorder="1" applyAlignment="1"/>
    <xf numFmtId="165" fontId="26" fillId="5" borderId="145" xfId="1" applyNumberFormat="1" applyFont="1" applyFill="1" applyBorder="1" applyAlignment="1"/>
    <xf numFmtId="165" fontId="26" fillId="5" borderId="6" xfId="1" applyNumberFormat="1" applyFont="1" applyFill="1" applyBorder="1" applyAlignment="1"/>
    <xf numFmtId="0" fontId="88" fillId="0" borderId="0" xfId="0" applyFont="1"/>
    <xf numFmtId="43" fontId="26" fillId="0" borderId="0" xfId="1" applyFont="1" applyFill="1"/>
    <xf numFmtId="37" fontId="30" fillId="19" borderId="10" xfId="1" applyNumberFormat="1" applyFont="1" applyFill="1" applyBorder="1" applyAlignment="1">
      <alignment horizontal="center" vertical="center"/>
    </xf>
    <xf numFmtId="0" fontId="26" fillId="19" borderId="0" xfId="0" applyFont="1" applyFill="1" applyBorder="1"/>
    <xf numFmtId="10" fontId="79" fillId="19" borderId="0" xfId="0" applyNumberFormat="1" applyFont="1" applyFill="1" applyBorder="1"/>
    <xf numFmtId="41" fontId="30" fillId="18" borderId="4" xfId="1" applyNumberFormat="1" applyFont="1" applyFill="1" applyBorder="1" applyAlignment="1">
      <alignment horizontal="left" indent="1"/>
    </xf>
    <xf numFmtId="43" fontId="30" fillId="18" borderId="4" xfId="1" applyFont="1" applyFill="1" applyBorder="1"/>
    <xf numFmtId="0" fontId="78" fillId="16" borderId="4" xfId="0" applyFont="1" applyFill="1" applyBorder="1"/>
    <xf numFmtId="3" fontId="26" fillId="0" borderId="0" xfId="0" applyNumberFormat="1" applyFont="1"/>
    <xf numFmtId="165" fontId="26" fillId="0" borderId="168" xfId="1" applyNumberFormat="1" applyFont="1" applyFill="1" applyBorder="1" applyAlignment="1"/>
    <xf numFmtId="3" fontId="23" fillId="0" borderId="0" xfId="0" applyNumberFormat="1" applyFont="1"/>
    <xf numFmtId="0" fontId="27" fillId="5" borderId="4" xfId="0" applyFont="1" applyFill="1" applyBorder="1"/>
    <xf numFmtId="0" fontId="27" fillId="5" borderId="4" xfId="0" applyFont="1" applyFill="1" applyBorder="1" applyAlignment="1">
      <alignment horizontal="center"/>
    </xf>
    <xf numFmtId="0" fontId="79" fillId="0" borderId="0" xfId="0" applyFont="1" applyFill="1" applyBorder="1"/>
    <xf numFmtId="8" fontId="23" fillId="0" borderId="56" xfId="1" applyNumberFormat="1" applyFont="1" applyBorder="1"/>
    <xf numFmtId="8" fontId="27" fillId="4" borderId="60" xfId="8" applyNumberFormat="1" applyFont="1" applyFill="1" applyBorder="1"/>
    <xf numFmtId="165" fontId="78" fillId="0" borderId="0" xfId="0" applyNumberFormat="1" applyFont="1"/>
    <xf numFmtId="165" fontId="78" fillId="16" borderId="4" xfId="1" applyNumberFormat="1" applyFont="1" applyFill="1" applyBorder="1"/>
    <xf numFmtId="165" fontId="78" fillId="0" borderId="0" xfId="0" applyNumberFormat="1" applyFont="1" applyAlignment="1">
      <alignment horizontal="center" wrapText="1"/>
    </xf>
    <xf numFmtId="43" fontId="78" fillId="0" borderId="0" xfId="0" applyNumberFormat="1" applyFont="1" applyAlignment="1">
      <alignment horizontal="center" wrapText="1"/>
    </xf>
    <xf numFmtId="170" fontId="26" fillId="0" borderId="0" xfId="0" applyNumberFormat="1" applyFont="1"/>
    <xf numFmtId="169" fontId="26" fillId="0" borderId="0" xfId="0" applyNumberFormat="1" applyFont="1"/>
    <xf numFmtId="169" fontId="78" fillId="0" borderId="0" xfId="0" applyNumberFormat="1" applyFont="1"/>
    <xf numFmtId="0" fontId="79" fillId="0" borderId="0" xfId="0" applyFont="1" applyFill="1"/>
    <xf numFmtId="0" fontId="80" fillId="0" borderId="0" xfId="0" applyFont="1" applyFill="1"/>
    <xf numFmtId="0" fontId="79" fillId="0" borderId="0" xfId="0" applyFont="1" applyFill="1" applyAlignment="1">
      <alignment horizontal="left"/>
    </xf>
    <xf numFmtId="0" fontId="26" fillId="0" borderId="179" xfId="0" applyFont="1" applyBorder="1" applyAlignment="1">
      <alignment horizontal="left" indent="2"/>
    </xf>
    <xf numFmtId="168" fontId="79" fillId="0" borderId="180" xfId="1" applyNumberFormat="1" applyFont="1" applyBorder="1" applyAlignment="1"/>
    <xf numFmtId="165" fontId="26" fillId="0" borderId="181" xfId="0" applyNumberFormat="1" applyFont="1" applyBorder="1"/>
    <xf numFmtId="169" fontId="26" fillId="0" borderId="0" xfId="0" applyNumberFormat="1" applyFont="1" applyBorder="1"/>
    <xf numFmtId="0" fontId="26" fillId="0" borderId="15" xfId="0" applyFont="1" applyFill="1" applyBorder="1"/>
    <xf numFmtId="165" fontId="78" fillId="5" borderId="50" xfId="1" applyNumberFormat="1" applyFont="1" applyFill="1" applyBorder="1" applyAlignment="1">
      <alignment horizontal="center" wrapText="1"/>
    </xf>
    <xf numFmtId="165" fontId="78" fillId="5" borderId="106" xfId="1" applyNumberFormat="1" applyFont="1" applyFill="1" applyBorder="1" applyAlignment="1">
      <alignment horizontal="center" wrapText="1"/>
    </xf>
    <xf numFmtId="0" fontId="26" fillId="0" borderId="99" xfId="8" applyNumberFormat="1" applyFont="1" applyBorder="1" applyAlignment="1">
      <alignment horizontal="left" indent="1"/>
    </xf>
    <xf numFmtId="0" fontId="26" fillId="0" borderId="7" xfId="7" applyFont="1" applyFill="1" applyBorder="1" applyAlignment="1">
      <alignment horizontal="left"/>
    </xf>
    <xf numFmtId="169" fontId="26" fillId="0" borderId="100" xfId="1" applyNumberFormat="1" applyFont="1" applyBorder="1"/>
    <xf numFmtId="169" fontId="26" fillId="0" borderId="160" xfId="1" applyNumberFormat="1" applyFont="1" applyBorder="1"/>
    <xf numFmtId="169" fontId="26" fillId="0" borderId="177" xfId="1" applyNumberFormat="1" applyFont="1" applyBorder="1"/>
    <xf numFmtId="169" fontId="26" fillId="0" borderId="178" xfId="1" applyNumberFormat="1" applyFont="1" applyBorder="1"/>
    <xf numFmtId="169" fontId="26" fillId="0" borderId="159" xfId="1" applyNumberFormat="1" applyFont="1" applyBorder="1"/>
    <xf numFmtId="169" fontId="78" fillId="0" borderId="128" xfId="0" applyNumberFormat="1" applyFont="1" applyBorder="1"/>
    <xf numFmtId="169" fontId="78" fillId="0" borderId="161" xfId="0" applyNumberFormat="1" applyFont="1" applyBorder="1"/>
    <xf numFmtId="169" fontId="78" fillId="16" borderId="4" xfId="0" applyNumberFormat="1" applyFont="1" applyFill="1" applyBorder="1"/>
    <xf numFmtId="169" fontId="26" fillId="0" borderId="130" xfId="1" applyNumberFormat="1" applyFont="1" applyBorder="1"/>
    <xf numFmtId="169" fontId="78" fillId="0" borderId="130" xfId="1" applyNumberFormat="1" applyFont="1" applyBorder="1"/>
    <xf numFmtId="169" fontId="78" fillId="0" borderId="159" xfId="1" applyNumberFormat="1" applyFont="1" applyBorder="1"/>
    <xf numFmtId="169" fontId="26" fillId="0" borderId="15" xfId="0" applyNumberFormat="1" applyFont="1" applyBorder="1"/>
    <xf numFmtId="0" fontId="83" fillId="6" borderId="4" xfId="0" applyFont="1" applyFill="1" applyBorder="1"/>
    <xf numFmtId="0" fontId="33" fillId="5" borderId="4" xfId="0" applyFont="1" applyFill="1" applyBorder="1" applyAlignment="1">
      <alignment horizontal="center"/>
    </xf>
    <xf numFmtId="0" fontId="33" fillId="5" borderId="4" xfId="0" applyFont="1" applyFill="1" applyBorder="1" applyAlignment="1">
      <alignment horizontal="center" wrapText="1"/>
    </xf>
    <xf numFmtId="0" fontId="26" fillId="5" borderId="21" xfId="0" applyFont="1" applyFill="1" applyBorder="1"/>
    <xf numFmtId="165" fontId="26" fillId="5" borderId="4" xfId="0" applyNumberFormat="1" applyFont="1" applyFill="1" applyBorder="1"/>
    <xf numFmtId="0" fontId="26" fillId="5" borderId="20" xfId="0" applyFont="1" applyFill="1" applyBorder="1"/>
    <xf numFmtId="0" fontId="83" fillId="6" borderId="21" xfId="0" applyFont="1" applyFill="1" applyBorder="1"/>
    <xf numFmtId="0" fontId="83" fillId="6" borderId="20" xfId="0" applyFont="1" applyFill="1" applyBorder="1"/>
    <xf numFmtId="0" fontId="33" fillId="5" borderId="21" xfId="0" applyFont="1" applyFill="1" applyBorder="1" applyAlignment="1">
      <alignment horizontal="center"/>
    </xf>
    <xf numFmtId="0" fontId="33" fillId="5" borderId="20" xfId="0" applyFont="1" applyFill="1" applyBorder="1" applyAlignment="1">
      <alignment horizontal="center" wrapText="1"/>
    </xf>
    <xf numFmtId="0" fontId="26" fillId="0" borderId="16" xfId="0" applyFont="1" applyBorder="1"/>
    <xf numFmtId="0" fontId="26" fillId="0" borderId="0" xfId="0" applyFont="1" applyFill="1" applyBorder="1" applyAlignment="1">
      <alignment horizontal="left"/>
    </xf>
    <xf numFmtId="43" fontId="26" fillId="0" borderId="0" xfId="1" applyFont="1" applyFill="1" applyBorder="1"/>
    <xf numFmtId="41" fontId="78" fillId="0" borderId="0" xfId="0" applyNumberFormat="1" applyFont="1" applyFill="1" applyBorder="1" applyAlignment="1">
      <alignment horizontal="center" wrapText="1"/>
    </xf>
    <xf numFmtId="41" fontId="26" fillId="0" borderId="0" xfId="1" applyNumberFormat="1" applyFont="1" applyFill="1" applyBorder="1" applyAlignment="1">
      <alignment horizontal="left" indent="1"/>
    </xf>
    <xf numFmtId="43" fontId="26" fillId="0" borderId="0" xfId="1" applyNumberFormat="1" applyFont="1" applyFill="1" applyBorder="1" applyAlignment="1"/>
    <xf numFmtId="165" fontId="26" fillId="0" borderId="16" xfId="1" applyNumberFormat="1" applyFont="1" applyBorder="1"/>
    <xf numFmtId="0" fontId="78" fillId="16" borderId="21" xfId="0" applyFont="1" applyFill="1" applyBorder="1"/>
    <xf numFmtId="44" fontId="0" fillId="0" borderId="0" xfId="0" applyNumberFormat="1"/>
    <xf numFmtId="177" fontId="26" fillId="0" borderId="0" xfId="6" applyNumberFormat="1" applyFont="1" applyBorder="1"/>
    <xf numFmtId="41" fontId="27" fillId="0" borderId="46" xfId="8" applyNumberFormat="1" applyFont="1" applyFill="1" applyBorder="1"/>
    <xf numFmtId="41" fontId="27" fillId="4" borderId="182" xfId="8" applyNumberFormat="1" applyFont="1" applyFill="1" applyBorder="1"/>
    <xf numFmtId="165" fontId="27" fillId="4" borderId="183" xfId="1" applyNumberFormat="1" applyFont="1" applyFill="1" applyBorder="1"/>
    <xf numFmtId="165" fontId="27" fillId="4" borderId="184" xfId="1" applyNumberFormat="1" applyFont="1" applyFill="1" applyBorder="1"/>
    <xf numFmtId="166" fontId="28" fillId="4" borderId="6" xfId="8" applyNumberFormat="1" applyFont="1" applyFill="1" applyBorder="1" applyAlignment="1"/>
    <xf numFmtId="6" fontId="26" fillId="0" borderId="0" xfId="0" applyNumberFormat="1" applyFont="1"/>
    <xf numFmtId="6" fontId="26" fillId="0" borderId="3" xfId="0" applyNumberFormat="1" applyFont="1" applyBorder="1"/>
    <xf numFmtId="6" fontId="26" fillId="20" borderId="4" xfId="0" applyNumberFormat="1" applyFont="1" applyFill="1" applyBorder="1"/>
    <xf numFmtId="6" fontId="78" fillId="0" borderId="3" xfId="0" applyNumberFormat="1" applyFont="1" applyBorder="1"/>
    <xf numFmtId="0" fontId="0" fillId="0" borderId="0" xfId="0"/>
    <xf numFmtId="0" fontId="83" fillId="6" borderId="4" xfId="0" applyFont="1" applyFill="1" applyBorder="1"/>
    <xf numFmtId="0" fontId="33" fillId="5" borderId="4" xfId="0" applyFont="1" applyFill="1" applyBorder="1" applyAlignment="1">
      <alignment horizontal="center"/>
    </xf>
    <xf numFmtId="0" fontId="33" fillId="5" borderId="4" xfId="0" applyFont="1" applyFill="1" applyBorder="1" applyAlignment="1">
      <alignment horizontal="center" wrapText="1"/>
    </xf>
    <xf numFmtId="165" fontId="26" fillId="0" borderId="0" xfId="1" applyNumberFormat="1" applyFont="1" applyBorder="1"/>
    <xf numFmtId="165" fontId="23" fillId="0" borderId="0" xfId="1" applyNumberFormat="1" applyFont="1" applyBorder="1"/>
    <xf numFmtId="165" fontId="23" fillId="0" borderId="16" xfId="1" applyNumberFormat="1" applyFont="1" applyBorder="1"/>
    <xf numFmtId="43" fontId="23" fillId="0" borderId="0" xfId="1" applyFont="1"/>
    <xf numFmtId="0" fontId="63" fillId="0" borderId="0" xfId="7" applyFont="1" applyAlignment="1">
      <alignment horizontal="left" indent="2"/>
    </xf>
    <xf numFmtId="0" fontId="23" fillId="0" borderId="0" xfId="7" applyFont="1"/>
    <xf numFmtId="0" fontId="62" fillId="0" borderId="0" xfId="7" applyFont="1" applyAlignment="1">
      <alignment horizontal="left" indent="2"/>
    </xf>
    <xf numFmtId="0" fontId="65" fillId="9" borderId="50" xfId="7" applyFont="1" applyFill="1" applyBorder="1" applyAlignment="1">
      <alignment horizontal="center"/>
    </xf>
    <xf numFmtId="0" fontId="23" fillId="0" borderId="0" xfId="7" applyFont="1" applyBorder="1" applyAlignment="1">
      <alignment horizontal="left" indent="1"/>
    </xf>
    <xf numFmtId="165" fontId="23" fillId="0" borderId="0" xfId="1" applyNumberFormat="1" applyFont="1" applyFill="1" applyBorder="1"/>
    <xf numFmtId="176" fontId="23" fillId="0" borderId="0" xfId="1" applyNumberFormat="1" applyFont="1" applyBorder="1"/>
    <xf numFmtId="165" fontId="26" fillId="0" borderId="0" xfId="1" applyNumberFormat="1" applyFont="1"/>
    <xf numFmtId="44" fontId="26" fillId="0" borderId="0" xfId="3" applyFont="1"/>
    <xf numFmtId="0" fontId="47" fillId="9" borderId="57" xfId="7" applyFont="1" applyFill="1" applyBorder="1" applyAlignment="1">
      <alignment horizontal="center" vertical="center" textRotation="90"/>
    </xf>
    <xf numFmtId="8" fontId="27" fillId="4" borderId="95" xfId="1" applyNumberFormat="1" applyFont="1" applyFill="1" applyBorder="1"/>
    <xf numFmtId="8" fontId="23" fillId="0" borderId="10" xfId="8" applyNumberFormat="1" applyFont="1" applyBorder="1"/>
    <xf numFmtId="8" fontId="27" fillId="0" borderId="10" xfId="8" applyNumberFormat="1" applyFont="1" applyFill="1" applyBorder="1"/>
    <xf numFmtId="8" fontId="27" fillId="4" borderId="95" xfId="8" applyNumberFormat="1" applyFont="1" applyFill="1" applyBorder="1"/>
    <xf numFmtId="177" fontId="26" fillId="0" borderId="16" xfId="6" applyNumberFormat="1" applyFont="1" applyBorder="1"/>
    <xf numFmtId="177" fontId="26" fillId="0" borderId="47" xfId="6" applyNumberFormat="1" applyFont="1" applyBorder="1"/>
    <xf numFmtId="0" fontId="26" fillId="0" borderId="185" xfId="0" applyFont="1" applyBorder="1" applyAlignment="1"/>
    <xf numFmtId="177" fontId="26" fillId="0" borderId="54" xfId="0" applyNumberFormat="1" applyFont="1" applyFill="1" applyBorder="1"/>
    <xf numFmtId="177" fontId="26" fillId="0" borderId="46" xfId="0" applyNumberFormat="1" applyFont="1" applyFill="1" applyBorder="1"/>
    <xf numFmtId="177" fontId="26" fillId="0" borderId="47" xfId="0" applyNumberFormat="1" applyFont="1" applyFill="1" applyBorder="1"/>
    <xf numFmtId="177" fontId="18" fillId="0" borderId="185" xfId="0" applyNumberFormat="1" applyFont="1" applyBorder="1" applyAlignment="1"/>
    <xf numFmtId="165" fontId="26" fillId="0" borderId="47" xfId="3" applyNumberFormat="1" applyFont="1" applyBorder="1"/>
    <xf numFmtId="165" fontId="26" fillId="0" borderId="15" xfId="3" applyNumberFormat="1" applyFont="1" applyBorder="1"/>
    <xf numFmtId="3" fontId="26" fillId="0" borderId="0" xfId="1" applyNumberFormat="1" applyFont="1"/>
    <xf numFmtId="3" fontId="26" fillId="0" borderId="0" xfId="0" applyNumberFormat="1" applyFont="1" applyBorder="1"/>
    <xf numFmtId="44" fontId="26" fillId="0" borderId="29" xfId="3" applyFont="1" applyFill="1" applyBorder="1"/>
    <xf numFmtId="49" fontId="26" fillId="0" borderId="186" xfId="0" applyNumberFormat="1" applyFont="1" applyFill="1" applyBorder="1"/>
    <xf numFmtId="165" fontId="26" fillId="0" borderId="29" xfId="1" applyNumberFormat="1" applyFont="1" applyFill="1" applyBorder="1"/>
    <xf numFmtId="3" fontId="26" fillId="0" borderId="22" xfId="0" applyNumberFormat="1" applyFont="1" applyBorder="1"/>
    <xf numFmtId="3" fontId="78" fillId="0" borderId="0" xfId="0" applyNumberFormat="1" applyFont="1"/>
    <xf numFmtId="0" fontId="35" fillId="0" borderId="0" xfId="0" applyFont="1"/>
    <xf numFmtId="49" fontId="27" fillId="0" borderId="0" xfId="0" applyNumberFormat="1" applyFont="1"/>
    <xf numFmtId="0" fontId="26" fillId="0" borderId="0" xfId="0" applyFont="1" applyAlignment="1">
      <alignment wrapText="1"/>
    </xf>
    <xf numFmtId="0" fontId="26" fillId="0" borderId="22" xfId="0" applyFont="1" applyBorder="1" applyAlignment="1">
      <alignment wrapText="1"/>
    </xf>
    <xf numFmtId="166" fontId="28" fillId="4" borderId="6" xfId="8" applyNumberFormat="1" applyFont="1" applyFill="1" applyBorder="1"/>
    <xf numFmtId="0" fontId="105" fillId="0" borderId="0" xfId="7" applyFont="1" applyAlignment="1">
      <alignment horizontal="right" indent="2"/>
    </xf>
    <xf numFmtId="0" fontId="106" fillId="0" borderId="0" xfId="7" applyFont="1"/>
    <xf numFmtId="0" fontId="64" fillId="9" borderId="21" xfId="7" applyFont="1" applyFill="1" applyBorder="1" applyAlignment="1">
      <alignment horizontal="center"/>
    </xf>
    <xf numFmtId="0" fontId="47" fillId="9" borderId="4" xfId="7" applyFont="1" applyFill="1" applyBorder="1" applyAlignment="1">
      <alignment horizontal="center"/>
    </xf>
    <xf numFmtId="165" fontId="65" fillId="9" borderId="4" xfId="1" applyNumberFormat="1" applyFont="1" applyFill="1" applyBorder="1" applyAlignment="1">
      <alignment horizontal="center" wrapText="1"/>
    </xf>
    <xf numFmtId="165" fontId="65" fillId="9" borderId="14" xfId="1" applyNumberFormat="1" applyFont="1" applyFill="1" applyBorder="1" applyAlignment="1">
      <alignment horizontal="center" wrapText="1"/>
    </xf>
    <xf numFmtId="165" fontId="65" fillId="9" borderId="54" xfId="1" applyNumberFormat="1" applyFont="1" applyFill="1" applyBorder="1" applyAlignment="1">
      <alignment horizontal="center" wrapText="1"/>
    </xf>
    <xf numFmtId="9" fontId="107" fillId="0" borderId="0" xfId="6" applyFont="1" applyBorder="1"/>
    <xf numFmtId="176" fontId="23" fillId="0" borderId="16" xfId="1" applyNumberFormat="1" applyFont="1" applyBorder="1"/>
    <xf numFmtId="9" fontId="107" fillId="0" borderId="0" xfId="6" applyNumberFormat="1" applyFont="1" applyBorder="1"/>
    <xf numFmtId="0" fontId="47" fillId="9" borderId="11" xfId="7" applyFont="1" applyFill="1" applyBorder="1" applyAlignment="1">
      <alignment horizontal="center" vertical="center" textRotation="90"/>
    </xf>
    <xf numFmtId="0" fontId="27" fillId="4" borderId="21" xfId="7" applyFont="1" applyFill="1" applyBorder="1" applyAlignment="1">
      <alignment horizontal="left" indent="1"/>
    </xf>
    <xf numFmtId="0" fontId="108" fillId="0" borderId="0" xfId="7" applyFont="1"/>
    <xf numFmtId="0" fontId="64" fillId="9" borderId="49" xfId="7" applyFont="1" applyFill="1" applyBorder="1" applyAlignment="1">
      <alignment horizontal="center"/>
    </xf>
    <xf numFmtId="0" fontId="27" fillId="2" borderId="49" xfId="7" applyFont="1" applyFill="1" applyBorder="1" applyAlignment="1">
      <alignment horizontal="center"/>
    </xf>
    <xf numFmtId="0" fontId="27" fillId="2" borderId="51" xfId="7" applyFont="1" applyFill="1" applyBorder="1" applyAlignment="1">
      <alignment horizontal="center"/>
    </xf>
    <xf numFmtId="166" fontId="23" fillId="0" borderId="14" xfId="8" applyNumberFormat="1" applyFont="1" applyBorder="1"/>
    <xf numFmtId="166" fontId="23" fillId="0" borderId="55" xfId="8" applyNumberFormat="1" applyFont="1" applyBorder="1"/>
    <xf numFmtId="166" fontId="23" fillId="0" borderId="56" xfId="8" applyNumberFormat="1" applyFont="1" applyBorder="1"/>
    <xf numFmtId="165" fontId="23" fillId="0" borderId="9" xfId="1" applyNumberFormat="1" applyFont="1" applyBorder="1"/>
    <xf numFmtId="165" fontId="23" fillId="0" borderId="10" xfId="1" applyNumberFormat="1" applyFont="1" applyBorder="1"/>
    <xf numFmtId="166" fontId="27" fillId="4" borderId="4" xfId="8" applyNumberFormat="1" applyFont="1" applyFill="1" applyBorder="1"/>
    <xf numFmtId="166" fontId="27" fillId="4" borderId="93" xfId="8" applyNumberFormat="1" applyFont="1" applyFill="1" applyBorder="1"/>
    <xf numFmtId="166" fontId="27" fillId="4" borderId="95" xfId="8" applyNumberFormat="1" applyFont="1" applyFill="1" applyBorder="1"/>
    <xf numFmtId="0" fontId="47" fillId="9" borderId="58" xfId="7" applyFont="1" applyFill="1" applyBorder="1" applyAlignment="1">
      <alignment horizontal="center" vertical="center" textRotation="90"/>
    </xf>
    <xf numFmtId="166" fontId="28" fillId="0" borderId="0" xfId="8" applyNumberFormat="1" applyFont="1" applyFill="1" applyBorder="1"/>
    <xf numFmtId="0" fontId="23" fillId="3" borderId="15" xfId="7" applyFont="1" applyFill="1" applyBorder="1"/>
    <xf numFmtId="0" fontId="23" fillId="3" borderId="0" xfId="7" applyFont="1" applyFill="1" applyBorder="1"/>
    <xf numFmtId="167" fontId="23" fillId="3" borderId="16" xfId="6" applyNumberFormat="1" applyFont="1" applyFill="1" applyBorder="1"/>
    <xf numFmtId="0" fontId="23" fillId="3" borderId="15" xfId="0" applyFont="1" applyFill="1" applyBorder="1"/>
    <xf numFmtId="9" fontId="23" fillId="3" borderId="16" xfId="6" applyFont="1" applyFill="1" applyBorder="1"/>
    <xf numFmtId="0" fontId="23" fillId="3" borderId="18" xfId="7" applyFont="1" applyFill="1" applyBorder="1" applyAlignment="1"/>
    <xf numFmtId="0" fontId="23" fillId="3" borderId="3" xfId="7" applyFont="1" applyFill="1" applyBorder="1" applyAlignment="1"/>
    <xf numFmtId="0" fontId="23" fillId="3" borderId="3" xfId="7" applyFont="1" applyFill="1" applyBorder="1"/>
    <xf numFmtId="10" fontId="23" fillId="3" borderId="17" xfId="8" applyNumberFormat="1" applyFont="1" applyFill="1" applyBorder="1"/>
    <xf numFmtId="0" fontId="83" fillId="6" borderId="11" xfId="0" applyFont="1" applyFill="1" applyBorder="1"/>
    <xf numFmtId="0" fontId="33" fillId="5" borderId="11" xfId="0" applyFont="1" applyFill="1" applyBorder="1" applyAlignment="1">
      <alignment horizontal="center"/>
    </xf>
    <xf numFmtId="43" fontId="26" fillId="5" borderId="11" xfId="0" applyNumberFormat="1" applyFont="1" applyFill="1" applyBorder="1"/>
    <xf numFmtId="41" fontId="62" fillId="0" borderId="0" xfId="7" applyNumberFormat="1" applyFont="1" applyAlignment="1">
      <alignment horizontal="left" indent="2"/>
    </xf>
    <xf numFmtId="41" fontId="23" fillId="0" borderId="0" xfId="7" applyNumberFormat="1" applyFont="1"/>
    <xf numFmtId="0" fontId="109" fillId="54" borderId="187" xfId="0" applyFont="1" applyFill="1" applyBorder="1" applyAlignment="1">
      <alignment horizontal="center" wrapText="1" readingOrder="1"/>
    </xf>
    <xf numFmtId="6" fontId="110" fillId="0" borderId="187" xfId="0" applyNumberFormat="1" applyFont="1" applyBorder="1" applyAlignment="1">
      <alignment horizontal="right" wrapText="1" readingOrder="1"/>
    </xf>
    <xf numFmtId="6" fontId="109" fillId="0" borderId="187" xfId="0" applyNumberFormat="1" applyFont="1" applyBorder="1" applyAlignment="1">
      <alignment horizontal="right" wrapText="1" readingOrder="1"/>
    </xf>
    <xf numFmtId="0" fontId="110" fillId="0" borderId="187" xfId="0" applyFont="1" applyBorder="1" applyAlignment="1">
      <alignment horizontal="left" readingOrder="1"/>
    </xf>
    <xf numFmtId="0" fontId="109" fillId="0" borderId="187" xfId="0" applyFont="1" applyBorder="1" applyAlignment="1">
      <alignment horizontal="left" readingOrder="1"/>
    </xf>
    <xf numFmtId="0" fontId="110" fillId="0" borderId="187" xfId="0" applyFont="1" applyBorder="1" applyAlignment="1">
      <alignment horizontal="center" readingOrder="1"/>
    </xf>
    <xf numFmtId="2" fontId="26" fillId="0" borderId="47" xfId="0" applyNumberFormat="1" applyFont="1" applyBorder="1"/>
    <xf numFmtId="43" fontId="78" fillId="0" borderId="0" xfId="0" applyNumberFormat="1" applyFont="1" applyFill="1" applyBorder="1"/>
    <xf numFmtId="0" fontId="26" fillId="0" borderId="0" xfId="0" applyFont="1"/>
    <xf numFmtId="0" fontId="26" fillId="0" borderId="0" xfId="0" applyFont="1" applyFill="1" applyBorder="1"/>
    <xf numFmtId="0" fontId="26" fillId="0" borderId="0" xfId="0" applyFont="1" applyBorder="1"/>
    <xf numFmtId="0" fontId="78" fillId="0" borderId="0" xfId="0" applyFont="1" applyFill="1" applyBorder="1"/>
    <xf numFmtId="165" fontId="26" fillId="0" borderId="0" xfId="1" applyNumberFormat="1" applyFont="1" applyFill="1" applyBorder="1"/>
    <xf numFmtId="0" fontId="26" fillId="0" borderId="0" xfId="0" applyFont="1" applyFill="1" applyBorder="1" applyAlignment="1">
      <alignment horizontal="center"/>
    </xf>
    <xf numFmtId="165" fontId="26" fillId="0" borderId="23" xfId="1" applyNumberFormat="1" applyFont="1" applyFill="1" applyBorder="1" applyAlignment="1">
      <alignment horizontal="right"/>
    </xf>
    <xf numFmtId="10" fontId="79" fillId="0" borderId="0" xfId="0" applyNumberFormat="1" applyFont="1" applyBorder="1"/>
    <xf numFmtId="165" fontId="26" fillId="0" borderId="131" xfId="1" applyNumberFormat="1" applyFont="1" applyFill="1" applyBorder="1"/>
    <xf numFmtId="166" fontId="26" fillId="0" borderId="0" xfId="3" applyNumberFormat="1" applyFont="1" applyFill="1" applyBorder="1"/>
    <xf numFmtId="177" fontId="18" fillId="0" borderId="0" xfId="0" applyNumberFormat="1" applyFont="1" applyBorder="1" applyAlignment="1"/>
    <xf numFmtId="0" fontId="18" fillId="0" borderId="0" xfId="3" applyNumberFormat="1" applyFont="1"/>
    <xf numFmtId="169" fontId="78" fillId="0" borderId="15" xfId="0" applyNumberFormat="1" applyFont="1" applyBorder="1"/>
    <xf numFmtId="9" fontId="26" fillId="0" borderId="0" xfId="0" applyNumberFormat="1" applyFont="1" applyBorder="1"/>
    <xf numFmtId="165" fontId="26" fillId="0" borderId="0" xfId="1" applyNumberFormat="1" applyFont="1" applyFill="1" applyAlignment="1">
      <alignment horizontal="center"/>
    </xf>
    <xf numFmtId="44" fontId="26" fillId="0" borderId="0" xfId="0" applyNumberFormat="1" applyFont="1"/>
    <xf numFmtId="49" fontId="38" fillId="0" borderId="0" xfId="0" applyNumberFormat="1" applyFont="1"/>
    <xf numFmtId="49" fontId="17" fillId="0" borderId="0" xfId="0" applyNumberFormat="1" applyFont="1"/>
    <xf numFmtId="43" fontId="26" fillId="0" borderId="0" xfId="1" applyNumberFormat="1" applyFont="1" applyBorder="1"/>
    <xf numFmtId="165" fontId="111" fillId="0" borderId="0" xfId="1" applyNumberFormat="1" applyFont="1"/>
    <xf numFmtId="170" fontId="26" fillId="0" borderId="0" xfId="3" applyNumberFormat="1" applyFont="1"/>
    <xf numFmtId="43" fontId="0" fillId="0" borderId="0" xfId="0" applyNumberFormat="1"/>
    <xf numFmtId="10" fontId="0" fillId="0" borderId="0" xfId="6" applyNumberFormat="1" applyFont="1"/>
    <xf numFmtId="0" fontId="26" fillId="5" borderId="0" xfId="0" applyFont="1" applyFill="1" applyBorder="1" applyAlignment="1">
      <alignment horizontal="center"/>
    </xf>
    <xf numFmtId="0" fontId="26" fillId="5" borderId="0" xfId="0" applyFont="1" applyFill="1" applyBorder="1"/>
    <xf numFmtId="165" fontId="78" fillId="0" borderId="0" xfId="1" applyNumberFormat="1" applyFont="1" applyFill="1" applyBorder="1"/>
    <xf numFmtId="166" fontId="26" fillId="0" borderId="0" xfId="3" applyNumberFormat="1" applyFont="1" applyFill="1" applyBorder="1" applyAlignment="1">
      <alignment horizontal="center"/>
    </xf>
    <xf numFmtId="9" fontId="79" fillId="0" borderId="0" xfId="6" applyFont="1" applyBorder="1"/>
    <xf numFmtId="165" fontId="26" fillId="0" borderId="0" xfId="1" applyNumberFormat="1" applyFont="1" applyBorder="1" applyAlignment="1">
      <alignment horizontal="center"/>
    </xf>
    <xf numFmtId="0" fontId="35" fillId="5" borderId="46" xfId="0" applyFont="1" applyFill="1" applyBorder="1" applyAlignment="1">
      <alignment horizontal="center"/>
    </xf>
    <xf numFmtId="0" fontId="78" fillId="0" borderId="47" xfId="0" applyFont="1" applyFill="1" applyBorder="1" applyAlignment="1"/>
    <xf numFmtId="0" fontId="35" fillId="0" borderId="47" xfId="0" applyFont="1" applyFill="1" applyBorder="1" applyAlignment="1">
      <alignment horizontal="center"/>
    </xf>
    <xf numFmtId="168" fontId="79" fillId="0" borderId="47" xfId="1" applyNumberFormat="1" applyFont="1" applyFill="1" applyBorder="1" applyAlignment="1"/>
    <xf numFmtId="168" fontId="79" fillId="0" borderId="47" xfId="1" applyNumberFormat="1" applyFont="1" applyBorder="1" applyAlignment="1"/>
    <xf numFmtId="0" fontId="26" fillId="5" borderId="47" xfId="0" applyFont="1" applyFill="1" applyBorder="1"/>
    <xf numFmtId="0" fontId="26" fillId="0" borderId="47" xfId="0" applyFont="1" applyBorder="1" applyAlignment="1"/>
    <xf numFmtId="167" fontId="79" fillId="0" borderId="47" xfId="6" applyNumberFormat="1" applyFont="1" applyBorder="1" applyAlignment="1">
      <alignment horizontal="right"/>
    </xf>
    <xf numFmtId="0" fontId="26" fillId="5" borderId="14" xfId="0" applyFont="1" applyFill="1" applyBorder="1" applyAlignment="1">
      <alignment horizontal="center"/>
    </xf>
    <xf numFmtId="0" fontId="70" fillId="5" borderId="11" xfId="0" applyFont="1" applyFill="1" applyBorder="1" applyAlignment="1">
      <alignment horizontal="center"/>
    </xf>
    <xf numFmtId="0" fontId="81" fillId="5" borderId="4" xfId="0" applyFont="1" applyFill="1" applyBorder="1" applyAlignment="1">
      <alignment horizontal="center"/>
    </xf>
    <xf numFmtId="0" fontId="26" fillId="5" borderId="20" xfId="0" applyFont="1" applyFill="1" applyBorder="1" applyAlignment="1">
      <alignment horizontal="center"/>
    </xf>
    <xf numFmtId="0" fontId="78" fillId="16" borderId="21" xfId="0" applyFont="1" applyFill="1" applyBorder="1" applyAlignment="1"/>
    <xf numFmtId="0" fontId="78" fillId="16" borderId="11" xfId="0" applyFont="1" applyFill="1" applyBorder="1" applyAlignment="1"/>
    <xf numFmtId="165" fontId="78" fillId="16" borderId="4" xfId="0" applyNumberFormat="1" applyFont="1" applyFill="1" applyBorder="1"/>
    <xf numFmtId="0" fontId="26" fillId="7" borderId="21" xfId="0" applyFont="1" applyFill="1" applyBorder="1" applyAlignment="1"/>
    <xf numFmtId="0" fontId="26" fillId="7" borderId="11" xfId="0" applyFont="1" applyFill="1" applyBorder="1" applyAlignment="1">
      <alignment horizontal="center"/>
    </xf>
    <xf numFmtId="0" fontId="26" fillId="7" borderId="4" xfId="0" applyFont="1" applyFill="1" applyBorder="1"/>
    <xf numFmtId="0" fontId="26" fillId="7" borderId="20" xfId="0" applyFont="1" applyFill="1" applyBorder="1"/>
    <xf numFmtId="0" fontId="78" fillId="5" borderId="21" xfId="0" applyFont="1" applyFill="1" applyBorder="1"/>
    <xf numFmtId="0" fontId="26" fillId="5" borderId="11" xfId="0" applyFont="1" applyFill="1" applyBorder="1"/>
    <xf numFmtId="0" fontId="80" fillId="7" borderId="21" xfId="0" applyFont="1" applyFill="1" applyBorder="1"/>
    <xf numFmtId="0" fontId="26" fillId="7" borderId="11" xfId="0" applyFont="1" applyFill="1" applyBorder="1"/>
    <xf numFmtId="165" fontId="26" fillId="7" borderId="4" xfId="1" applyNumberFormat="1" applyFont="1" applyFill="1" applyBorder="1"/>
    <xf numFmtId="165" fontId="26" fillId="7" borderId="4" xfId="0" applyNumberFormat="1" applyFont="1" applyFill="1" applyBorder="1"/>
    <xf numFmtId="165" fontId="26" fillId="7" borderId="20" xfId="0" applyNumberFormat="1" applyFont="1" applyFill="1" applyBorder="1"/>
    <xf numFmtId="0" fontId="80" fillId="7" borderId="21" xfId="0" applyFont="1" applyFill="1" applyBorder="1" applyAlignment="1"/>
    <xf numFmtId="0" fontId="80" fillId="7" borderId="11" xfId="0" applyFont="1" applyFill="1" applyBorder="1" applyAlignment="1"/>
    <xf numFmtId="0" fontId="26" fillId="7" borderId="4" xfId="0" applyFont="1" applyFill="1" applyBorder="1" applyAlignment="1">
      <alignment horizontal="center"/>
    </xf>
    <xf numFmtId="0" fontId="26" fillId="7" borderId="20" xfId="0" applyFont="1" applyFill="1" applyBorder="1" applyAlignment="1">
      <alignment horizontal="center"/>
    </xf>
    <xf numFmtId="0" fontId="78" fillId="5" borderId="20" xfId="0" applyFont="1" applyFill="1" applyBorder="1" applyAlignment="1">
      <alignment horizontal="center"/>
    </xf>
    <xf numFmtId="165" fontId="78" fillId="23" borderId="15" xfId="0" applyNumberFormat="1" applyFont="1" applyFill="1" applyBorder="1"/>
    <xf numFmtId="165" fontId="78" fillId="23" borderId="16" xfId="1" applyNumberFormat="1" applyFont="1" applyFill="1" applyBorder="1"/>
    <xf numFmtId="165" fontId="78" fillId="0" borderId="15" xfId="0" applyNumberFormat="1" applyFont="1" applyBorder="1"/>
    <xf numFmtId="165" fontId="78" fillId="0" borderId="16" xfId="1" applyNumberFormat="1" applyFont="1" applyBorder="1"/>
    <xf numFmtId="0" fontId="78" fillId="0" borderId="21" xfId="0" applyFont="1" applyBorder="1" applyAlignment="1"/>
    <xf numFmtId="0" fontId="78" fillId="0" borderId="11" xfId="0" applyFont="1" applyBorder="1" applyAlignment="1"/>
    <xf numFmtId="165" fontId="78" fillId="0" borderId="4" xfId="1" applyNumberFormat="1" applyFont="1" applyBorder="1"/>
    <xf numFmtId="165" fontId="78" fillId="0" borderId="21" xfId="0" applyNumberFormat="1" applyFont="1" applyBorder="1"/>
    <xf numFmtId="165" fontId="78" fillId="0" borderId="20" xfId="1" applyNumberFormat="1" applyFont="1" applyBorder="1"/>
    <xf numFmtId="165" fontId="78" fillId="5" borderId="15" xfId="0" applyNumberFormat="1" applyFont="1" applyFill="1" applyBorder="1"/>
    <xf numFmtId="165" fontId="78" fillId="5" borderId="16" xfId="0" applyNumberFormat="1" applyFont="1" applyFill="1" applyBorder="1"/>
    <xf numFmtId="0" fontId="26" fillId="5" borderId="15" xfId="0" applyFont="1" applyFill="1" applyBorder="1"/>
    <xf numFmtId="0" fontId="26" fillId="5" borderId="16" xfId="0" applyFont="1" applyFill="1" applyBorder="1"/>
    <xf numFmtId="165" fontId="78" fillId="5" borderId="18" xfId="0" applyNumberFormat="1" applyFont="1" applyFill="1" applyBorder="1"/>
    <xf numFmtId="165" fontId="78" fillId="5" borderId="17" xfId="0" applyNumberFormat="1" applyFont="1" applyFill="1" applyBorder="1"/>
    <xf numFmtId="0" fontId="26" fillId="5" borderId="14" xfId="0" applyFont="1" applyFill="1" applyBorder="1"/>
    <xf numFmtId="0" fontId="26" fillId="5" borderId="54" xfId="0" applyFont="1" applyFill="1" applyBorder="1"/>
    <xf numFmtId="0" fontId="78" fillId="5" borderId="15" xfId="0" applyFont="1" applyFill="1" applyBorder="1"/>
    <xf numFmtId="0" fontId="26" fillId="0" borderId="15" xfId="0" applyFont="1" applyFill="1" applyBorder="1" applyAlignment="1"/>
    <xf numFmtId="0" fontId="78" fillId="0" borderId="15" xfId="0" applyFont="1" applyFill="1" applyBorder="1" applyAlignment="1"/>
    <xf numFmtId="0" fontId="26" fillId="0" borderId="15" xfId="0" applyFont="1" applyBorder="1" applyAlignment="1">
      <alignment horizontal="left" indent="1"/>
    </xf>
    <xf numFmtId="0" fontId="26" fillId="0" borderId="15" xfId="0" applyFont="1" applyBorder="1" applyAlignment="1">
      <alignment horizontal="left" indent="2"/>
    </xf>
    <xf numFmtId="0" fontId="26" fillId="0" borderId="15" xfId="0" applyFont="1" applyBorder="1" applyAlignment="1"/>
    <xf numFmtId="0" fontId="26" fillId="0" borderId="15" xfId="0" applyFont="1" applyBorder="1" applyAlignment="1">
      <alignment wrapText="1"/>
    </xf>
    <xf numFmtId="9" fontId="26" fillId="5" borderId="15" xfId="6" applyFont="1" applyFill="1" applyBorder="1"/>
    <xf numFmtId="9" fontId="26" fillId="5" borderId="18" xfId="6" applyFont="1" applyFill="1" applyBorder="1"/>
    <xf numFmtId="0" fontId="35" fillId="7" borderId="11" xfId="0" applyFont="1" applyFill="1" applyBorder="1" applyAlignment="1">
      <alignment horizontal="center"/>
    </xf>
    <xf numFmtId="180" fontId="26" fillId="7" borderId="4" xfId="0" applyNumberFormat="1" applyFont="1" applyFill="1" applyBorder="1" applyAlignment="1">
      <alignment horizontal="center"/>
    </xf>
    <xf numFmtId="0" fontId="35" fillId="5" borderId="11" xfId="0" applyFont="1" applyFill="1" applyBorder="1" applyAlignment="1">
      <alignment horizontal="center"/>
    </xf>
    <xf numFmtId="180" fontId="26" fillId="5" borderId="4" xfId="0" applyNumberFormat="1" applyFont="1" applyFill="1" applyBorder="1" applyAlignment="1">
      <alignment horizontal="center"/>
    </xf>
    <xf numFmtId="0" fontId="78" fillId="7" borderId="21" xfId="0" applyFont="1" applyFill="1" applyBorder="1"/>
    <xf numFmtId="0" fontId="26" fillId="0" borderId="21" xfId="0" applyFont="1" applyFill="1" applyBorder="1" applyAlignment="1">
      <alignment horizontal="left"/>
    </xf>
    <xf numFmtId="0" fontId="26" fillId="0" borderId="11" xfId="0" applyFont="1" applyBorder="1"/>
    <xf numFmtId="165" fontId="26" fillId="0" borderId="4" xfId="1" applyNumberFormat="1" applyFont="1" applyFill="1" applyBorder="1"/>
    <xf numFmtId="165" fontId="78" fillId="0" borderId="20" xfId="0" applyNumberFormat="1" applyFont="1" applyBorder="1"/>
    <xf numFmtId="9" fontId="26" fillId="5" borderId="16" xfId="6" applyFont="1" applyFill="1" applyBorder="1"/>
    <xf numFmtId="9" fontId="26" fillId="5" borderId="17" xfId="6" applyFont="1" applyFill="1" applyBorder="1"/>
    <xf numFmtId="165" fontId="26" fillId="0" borderId="4" xfId="1" applyNumberFormat="1" applyFont="1" applyBorder="1"/>
    <xf numFmtId="165" fontId="78" fillId="23" borderId="20" xfId="1" applyNumberFormat="1" applyFont="1" applyFill="1" applyBorder="1"/>
    <xf numFmtId="165" fontId="26" fillId="0" borderId="4" xfId="0" applyNumberFormat="1" applyFont="1" applyBorder="1"/>
    <xf numFmtId="165" fontId="26" fillId="0" borderId="15" xfId="1" applyNumberFormat="1" applyFont="1" applyBorder="1"/>
    <xf numFmtId="165" fontId="78" fillId="23" borderId="21" xfId="1" applyNumberFormat="1" applyFont="1" applyFill="1" applyBorder="1"/>
    <xf numFmtId="0" fontId="83" fillId="5" borderId="4" xfId="0" applyFont="1" applyFill="1" applyBorder="1" applyAlignment="1">
      <alignment horizontal="center"/>
    </xf>
    <xf numFmtId="0" fontId="0" fillId="0" borderId="0" xfId="0"/>
    <xf numFmtId="165" fontId="26" fillId="0" borderId="0" xfId="0" applyNumberFormat="1" applyFont="1"/>
    <xf numFmtId="0" fontId="112" fillId="5" borderId="3" xfId="0" applyFont="1" applyFill="1" applyBorder="1" applyAlignment="1">
      <alignment horizontal="center"/>
    </xf>
    <xf numFmtId="0" fontId="113" fillId="0" borderId="0" xfId="0" applyFont="1"/>
    <xf numFmtId="169" fontId="113" fillId="0" borderId="0" xfId="1" applyNumberFormat="1" applyFont="1"/>
    <xf numFmtId="169" fontId="113" fillId="0" borderId="0" xfId="0" applyNumberFormat="1" applyFont="1"/>
    <xf numFmtId="0" fontId="112" fillId="5" borderId="3" xfId="0" applyFont="1" applyFill="1" applyBorder="1" applyAlignment="1">
      <alignment horizontal="center" wrapText="1"/>
    </xf>
    <xf numFmtId="165" fontId="26" fillId="0" borderId="0" xfId="1" applyNumberFormat="1" applyFont="1" applyFill="1" applyBorder="1"/>
    <xf numFmtId="165" fontId="26" fillId="0" borderId="0" xfId="0" applyNumberFormat="1" applyFont="1" applyFill="1" applyBorder="1"/>
    <xf numFmtId="0" fontId="47" fillId="9" borderId="9" xfId="7" applyFont="1" applyFill="1" applyBorder="1" applyAlignment="1">
      <alignment horizontal="center" vertical="center" textRotation="90"/>
    </xf>
    <xf numFmtId="165" fontId="26" fillId="0" borderId="98" xfId="3" applyNumberFormat="1" applyFont="1" applyBorder="1"/>
    <xf numFmtId="165" fontId="26" fillId="0" borderId="188" xfId="3" applyNumberFormat="1" applyFont="1" applyBorder="1"/>
    <xf numFmtId="0" fontId="26" fillId="0" borderId="16" xfId="0" applyFont="1" applyBorder="1" applyAlignment="1">
      <alignment horizontal="right"/>
    </xf>
    <xf numFmtId="0" fontId="33" fillId="5" borderId="0" xfId="0" applyFont="1" applyFill="1" applyBorder="1" applyAlignment="1">
      <alignment horizontal="center" wrapText="1"/>
    </xf>
    <xf numFmtId="0" fontId="26" fillId="0" borderId="0" xfId="0" applyFont="1" applyBorder="1" applyAlignment="1">
      <alignment horizontal="right"/>
    </xf>
    <xf numFmtId="0" fontId="83" fillId="6" borderId="18" xfId="0" applyFont="1" applyFill="1" applyBorder="1"/>
    <xf numFmtId="165" fontId="26" fillId="0" borderId="0" xfId="1" applyNumberFormat="1" applyFont="1" applyBorder="1" applyAlignment="1">
      <alignment horizontal="left"/>
    </xf>
    <xf numFmtId="165" fontId="26" fillId="5" borderId="21" xfId="0" applyNumberFormat="1" applyFont="1" applyFill="1" applyBorder="1"/>
    <xf numFmtId="165" fontId="26" fillId="23" borderId="0" xfId="1" applyNumberFormat="1" applyFont="1" applyFill="1" applyBorder="1"/>
    <xf numFmtId="9" fontId="26" fillId="23" borderId="0" xfId="6" applyFont="1" applyFill="1" applyBorder="1"/>
    <xf numFmtId="165" fontId="26" fillId="23" borderId="0" xfId="1" applyNumberFormat="1" applyFont="1" applyFill="1" applyBorder="1" applyAlignment="1">
      <alignment horizontal="right"/>
    </xf>
    <xf numFmtId="0" fontId="26" fillId="23" borderId="16" xfId="0" applyFont="1" applyFill="1" applyBorder="1" applyAlignment="1">
      <alignment horizontal="right"/>
    </xf>
    <xf numFmtId="0" fontId="26" fillId="23" borderId="0" xfId="0" applyFont="1" applyFill="1" applyBorder="1" applyAlignment="1">
      <alignment horizontal="right"/>
    </xf>
    <xf numFmtId="165" fontId="18" fillId="23" borderId="0" xfId="1" applyNumberFormat="1" applyFont="1" applyFill="1"/>
    <xf numFmtId="0" fontId="114" fillId="0" borderId="0" xfId="0" applyFont="1"/>
    <xf numFmtId="2" fontId="114" fillId="0" borderId="0" xfId="0" applyNumberFormat="1" applyFont="1"/>
    <xf numFmtId="2" fontId="26" fillId="0" borderId="15" xfId="0" applyNumberFormat="1" applyFont="1" applyFill="1" applyBorder="1"/>
    <xf numFmtId="1" fontId="26" fillId="0" borderId="15" xfId="0" applyNumberFormat="1" applyFont="1" applyFill="1" applyBorder="1" applyAlignment="1">
      <alignment horizontal="left"/>
    </xf>
    <xf numFmtId="2" fontId="26" fillId="0" borderId="47" xfId="0" applyNumberFormat="1" applyFont="1" applyFill="1" applyBorder="1"/>
    <xf numFmtId="0" fontId="26" fillId="0" borderId="0" xfId="0" applyFont="1" applyBorder="1" applyAlignment="1">
      <alignment horizontal="left"/>
    </xf>
    <xf numFmtId="0" fontId="47" fillId="9" borderId="57" xfId="7" applyFont="1" applyFill="1" applyBorder="1" applyAlignment="1">
      <alignment horizontal="center" vertical="center" textRotation="90"/>
    </xf>
    <xf numFmtId="0" fontId="28" fillId="0" borderId="0" xfId="0" applyFont="1"/>
    <xf numFmtId="0" fontId="115" fillId="0" borderId="0" xfId="0" applyFont="1"/>
    <xf numFmtId="0" fontId="78" fillId="0" borderId="94" xfId="0" applyFont="1" applyFill="1" applyBorder="1"/>
    <xf numFmtId="41" fontId="78" fillId="0" borderId="94" xfId="0" applyNumberFormat="1" applyFont="1" applyFill="1" applyBorder="1" applyAlignment="1">
      <alignment horizontal="center"/>
    </xf>
    <xf numFmtId="0" fontId="26" fillId="0" borderId="14" xfId="0" applyFont="1" applyFill="1" applyBorder="1"/>
    <xf numFmtId="2" fontId="79" fillId="19" borderId="0" xfId="119" applyNumberFormat="1" applyFont="1" applyFill="1" applyBorder="1"/>
    <xf numFmtId="0" fontId="78" fillId="16" borderId="50" xfId="0" applyFont="1" applyFill="1" applyBorder="1" applyAlignment="1">
      <alignment horizontal="center" wrapText="1"/>
    </xf>
    <xf numFmtId="165" fontId="78" fillId="0" borderId="0" xfId="1" applyNumberFormat="1" applyFont="1" applyFill="1" applyBorder="1" applyAlignment="1"/>
    <xf numFmtId="10" fontId="78" fillId="0" borderId="0" xfId="6" applyNumberFormat="1" applyFont="1" applyFill="1" applyBorder="1"/>
    <xf numFmtId="43" fontId="79" fillId="0" borderId="0" xfId="6" applyNumberFormat="1" applyFont="1" applyFill="1" applyBorder="1"/>
    <xf numFmtId="170" fontId="79" fillId="19" borderId="0" xfId="0" applyNumberFormat="1" applyFont="1" applyFill="1" applyBorder="1" applyAlignment="1">
      <alignment horizontal="right"/>
    </xf>
    <xf numFmtId="165" fontId="78" fillId="0" borderId="0" xfId="1" applyNumberFormat="1" applyFont="1" applyFill="1" applyBorder="1" applyAlignment="1">
      <alignment horizontal="center"/>
    </xf>
    <xf numFmtId="0" fontId="26" fillId="0" borderId="94" xfId="0" applyFont="1" applyFill="1" applyBorder="1" applyAlignment="1">
      <alignment horizontal="left"/>
    </xf>
    <xf numFmtId="170" fontId="79" fillId="19" borderId="94" xfId="3" applyNumberFormat="1" applyFont="1" applyFill="1" applyBorder="1" applyAlignment="1">
      <alignment horizontal="right"/>
    </xf>
    <xf numFmtId="0" fontId="26" fillId="0" borderId="2" xfId="0" applyFont="1" applyFill="1" applyBorder="1"/>
    <xf numFmtId="41" fontId="26" fillId="0" borderId="2" xfId="0" applyNumberFormat="1" applyFont="1" applyFill="1" applyBorder="1"/>
    <xf numFmtId="0" fontId="26" fillId="0" borderId="0" xfId="0" applyFont="1" applyFill="1" applyAlignment="1">
      <alignment horizontal="left"/>
    </xf>
    <xf numFmtId="0" fontId="26" fillId="0" borderId="0" xfId="0" applyNumberFormat="1" applyFont="1" applyFill="1" applyBorder="1"/>
    <xf numFmtId="43" fontId="78" fillId="0" borderId="0" xfId="1" applyNumberFormat="1" applyFont="1" applyFill="1" applyBorder="1"/>
    <xf numFmtId="170" fontId="79" fillId="19" borderId="2" xfId="0" applyNumberFormat="1" applyFont="1" applyFill="1" applyBorder="1" applyAlignment="1">
      <alignment horizontal="right"/>
    </xf>
    <xf numFmtId="10" fontId="26" fillId="0" borderId="0" xfId="6" applyNumberFormat="1" applyFont="1" applyFill="1" applyBorder="1"/>
    <xf numFmtId="43" fontId="26" fillId="0" borderId="0" xfId="1" applyNumberFormat="1" applyFont="1" applyFill="1" applyBorder="1"/>
    <xf numFmtId="0" fontId="26" fillId="0" borderId="188" xfId="0" applyFont="1" applyFill="1" applyBorder="1"/>
    <xf numFmtId="164" fontId="26" fillId="0" borderId="0" xfId="1" applyNumberFormat="1" applyFont="1" applyFill="1" applyBorder="1"/>
    <xf numFmtId="164" fontId="26" fillId="5" borderId="4" xfId="1" applyNumberFormat="1" applyFont="1" applyFill="1" applyBorder="1"/>
    <xf numFmtId="10" fontId="26" fillId="0" borderId="0" xfId="0" applyNumberFormat="1" applyFont="1" applyFill="1" applyBorder="1"/>
    <xf numFmtId="9" fontId="26" fillId="0" borderId="18" xfId="0" applyNumberFormat="1" applyFont="1" applyFill="1" applyBorder="1" applyAlignment="1"/>
    <xf numFmtId="9" fontId="26" fillId="0" borderId="3" xfId="6" applyFont="1" applyFill="1" applyBorder="1" applyAlignment="1">
      <alignment horizontal="right"/>
    </xf>
    <xf numFmtId="9" fontId="26" fillId="0" borderId="0" xfId="0" applyNumberFormat="1" applyFont="1" applyFill="1" applyBorder="1" applyAlignment="1"/>
    <xf numFmtId="43" fontId="79" fillId="0" borderId="0" xfId="1" applyFont="1" applyFill="1" applyBorder="1" applyAlignment="1">
      <alignment horizontal="right"/>
    </xf>
    <xf numFmtId="0" fontId="116" fillId="5" borderId="4" xfId="0" applyFont="1" applyFill="1" applyBorder="1" applyAlignment="1">
      <alignment wrapText="1"/>
    </xf>
    <xf numFmtId="41" fontId="78" fillId="5" borderId="4" xfId="0" applyNumberFormat="1" applyFont="1" applyFill="1" applyBorder="1" applyAlignment="1">
      <alignment horizontal="center" wrapText="1"/>
    </xf>
    <xf numFmtId="0" fontId="78" fillId="5" borderId="4" xfId="0" applyNumberFormat="1" applyFont="1" applyFill="1" applyBorder="1" applyAlignment="1">
      <alignment horizontal="center" wrapText="1"/>
    </xf>
    <xf numFmtId="9" fontId="35" fillId="16" borderId="4" xfId="0" applyNumberFormat="1" applyFont="1" applyFill="1" applyBorder="1" applyAlignment="1"/>
    <xf numFmtId="0" fontId="35" fillId="16" borderId="4" xfId="0" applyFont="1" applyFill="1" applyBorder="1"/>
    <xf numFmtId="43" fontId="35" fillId="16" borderId="4" xfId="1" applyFont="1" applyFill="1" applyBorder="1" applyAlignment="1">
      <alignment horizontal="right"/>
    </xf>
    <xf numFmtId="41" fontId="117" fillId="16" borderId="4" xfId="0" applyNumberFormat="1" applyFont="1" applyFill="1" applyBorder="1" applyAlignment="1">
      <alignment horizontal="center"/>
    </xf>
    <xf numFmtId="41" fontId="35" fillId="16" borderId="4" xfId="0" applyNumberFormat="1" applyFont="1" applyFill="1" applyBorder="1"/>
    <xf numFmtId="41" fontId="35" fillId="16" borderId="4" xfId="0" applyNumberFormat="1" applyFont="1" applyFill="1" applyBorder="1" applyAlignment="1">
      <alignment horizontal="center"/>
    </xf>
    <xf numFmtId="9" fontId="26" fillId="19" borderId="0" xfId="6" applyFont="1" applyFill="1" applyBorder="1" applyAlignment="1">
      <alignment horizontal="right"/>
    </xf>
    <xf numFmtId="183" fontId="26" fillId="0" borderId="0" xfId="0" applyNumberFormat="1" applyFont="1" applyFill="1" applyBorder="1" applyAlignment="1">
      <alignment horizontal="center"/>
    </xf>
    <xf numFmtId="41" fontId="26" fillId="19" borderId="0" xfId="0" applyNumberFormat="1" applyFont="1" applyFill="1" applyBorder="1"/>
    <xf numFmtId="184" fontId="26" fillId="0" borderId="0" xfId="0" applyNumberFormat="1" applyFont="1" applyFill="1" applyBorder="1" applyAlignment="1">
      <alignment horizontal="center"/>
    </xf>
    <xf numFmtId="183" fontId="26" fillId="19" borderId="0" xfId="0" applyNumberFormat="1" applyFont="1" applyFill="1" applyBorder="1"/>
    <xf numFmtId="9" fontId="26" fillId="0" borderId="3" xfId="0" applyNumberFormat="1" applyFont="1" applyFill="1" applyBorder="1" applyAlignment="1"/>
    <xf numFmtId="9" fontId="26" fillId="19" borderId="3" xfId="6" applyFont="1" applyFill="1" applyBorder="1" applyAlignment="1">
      <alignment horizontal="right"/>
    </xf>
    <xf numFmtId="183" fontId="26" fillId="0" borderId="3" xfId="0" applyNumberFormat="1" applyFont="1" applyFill="1" applyBorder="1" applyAlignment="1">
      <alignment horizontal="center"/>
    </xf>
    <xf numFmtId="165" fontId="26" fillId="0" borderId="3" xfId="1" applyNumberFormat="1" applyFont="1" applyFill="1" applyBorder="1" applyAlignment="1"/>
    <xf numFmtId="183" fontId="26" fillId="19" borderId="3" xfId="0" applyNumberFormat="1" applyFont="1" applyFill="1" applyBorder="1"/>
    <xf numFmtId="41" fontId="26" fillId="0" borderId="3" xfId="0" applyNumberFormat="1" applyFont="1" applyFill="1" applyBorder="1" applyAlignment="1">
      <alignment horizontal="center"/>
    </xf>
    <xf numFmtId="0" fontId="26" fillId="0" borderId="3" xfId="0" applyFont="1" applyFill="1" applyBorder="1" applyAlignment="1"/>
    <xf numFmtId="183" fontId="78" fillId="0" borderId="0" xfId="0" applyNumberFormat="1" applyFont="1" applyFill="1" applyBorder="1" applyAlignment="1">
      <alignment horizontal="center"/>
    </xf>
    <xf numFmtId="165" fontId="26" fillId="0" borderId="0" xfId="0" applyNumberFormat="1" applyFont="1" applyFill="1" applyBorder="1" applyAlignment="1"/>
    <xf numFmtId="41" fontId="35" fillId="0" borderId="0" xfId="0" applyNumberFormat="1" applyFont="1" applyFill="1" applyBorder="1" applyAlignment="1">
      <alignment horizontal="center"/>
    </xf>
    <xf numFmtId="43" fontId="26" fillId="0" borderId="0" xfId="1" applyFont="1" applyFill="1" applyBorder="1" applyAlignment="1">
      <alignment horizontal="right"/>
    </xf>
    <xf numFmtId="2" fontId="26" fillId="19" borderId="0" xfId="0" applyNumberFormat="1" applyFont="1" applyFill="1" applyBorder="1" applyAlignment="1">
      <alignment horizontal="center" wrapText="1" readingOrder="1"/>
    </xf>
    <xf numFmtId="41" fontId="26" fillId="0" borderId="0" xfId="0" applyNumberFormat="1" applyFont="1" applyFill="1"/>
    <xf numFmtId="43" fontId="26" fillId="0" borderId="0" xfId="0" applyNumberFormat="1" applyFont="1" applyFill="1"/>
    <xf numFmtId="0" fontId="35" fillId="0" borderId="4" xfId="0" applyFont="1" applyFill="1" applyBorder="1" applyAlignment="1"/>
    <xf numFmtId="165" fontId="35" fillId="0" borderId="4" xfId="1" applyNumberFormat="1" applyFont="1" applyFill="1" applyBorder="1" applyAlignment="1">
      <alignment horizontal="right"/>
    </xf>
    <xf numFmtId="9" fontId="82" fillId="0" borderId="4" xfId="0" applyNumberFormat="1" applyFont="1" applyFill="1" applyBorder="1" applyAlignment="1">
      <alignment horizontal="center"/>
    </xf>
    <xf numFmtId="9" fontId="82" fillId="0" borderId="0" xfId="0" applyNumberFormat="1" applyFont="1" applyFill="1" applyBorder="1" applyAlignment="1">
      <alignment wrapText="1" readingOrder="1"/>
    </xf>
    <xf numFmtId="0" fontId="118" fillId="0" borderId="0" xfId="0" applyFont="1" applyFill="1" applyBorder="1"/>
    <xf numFmtId="0" fontId="78" fillId="5" borderId="97" xfId="0" applyFont="1" applyFill="1" applyBorder="1"/>
    <xf numFmtId="0" fontId="78" fillId="5" borderId="94" xfId="0" applyFont="1" applyFill="1" applyBorder="1"/>
    <xf numFmtId="0" fontId="26" fillId="16" borderId="106" xfId="0" applyFont="1" applyFill="1" applyBorder="1"/>
    <xf numFmtId="0" fontId="78" fillId="16" borderId="50" xfId="0" applyFont="1" applyFill="1" applyBorder="1" applyAlignment="1">
      <alignment horizontal="center"/>
    </xf>
    <xf numFmtId="0" fontId="78" fillId="16" borderId="106" xfId="0" applyFont="1" applyFill="1" applyBorder="1" applyAlignment="1">
      <alignment horizontal="center"/>
    </xf>
    <xf numFmtId="0" fontId="26" fillId="55" borderId="18" xfId="0" applyFont="1" applyFill="1" applyBorder="1"/>
    <xf numFmtId="181" fontId="78" fillId="55" borderId="3" xfId="0" applyNumberFormat="1" applyFont="1" applyFill="1" applyBorder="1" applyAlignment="1">
      <alignment horizontal="center" wrapText="1"/>
    </xf>
    <xf numFmtId="181" fontId="78" fillId="55" borderId="3" xfId="0" applyNumberFormat="1" applyFont="1" applyFill="1" applyBorder="1" applyAlignment="1">
      <alignment horizontal="center"/>
    </xf>
    <xf numFmtId="181" fontId="78" fillId="55" borderId="18" xfId="0" applyNumberFormat="1" applyFont="1" applyFill="1" applyBorder="1" applyAlignment="1">
      <alignment horizontal="center"/>
    </xf>
    <xf numFmtId="0" fontId="78" fillId="55" borderId="18" xfId="0" applyFont="1" applyFill="1" applyBorder="1"/>
    <xf numFmtId="165" fontId="78" fillId="55" borderId="3" xfId="1" applyNumberFormat="1" applyFont="1" applyFill="1" applyBorder="1"/>
    <xf numFmtId="165" fontId="78" fillId="55" borderId="3" xfId="0" applyNumberFormat="1" applyFont="1" applyFill="1" applyBorder="1"/>
    <xf numFmtId="165" fontId="78" fillId="55" borderId="4" xfId="1" applyNumberFormat="1" applyFont="1" applyFill="1" applyBorder="1"/>
    <xf numFmtId="165" fontId="117" fillId="55" borderId="18" xfId="0" applyNumberFormat="1" applyFont="1" applyFill="1" applyBorder="1"/>
    <xf numFmtId="0" fontId="78" fillId="55" borderId="21" xfId="0" applyFont="1" applyFill="1" applyBorder="1"/>
    <xf numFmtId="9" fontId="78" fillId="55" borderId="4" xfId="6" applyFont="1" applyFill="1" applyBorder="1"/>
    <xf numFmtId="9" fontId="78" fillId="55" borderId="21" xfId="6" applyFont="1" applyFill="1" applyBorder="1"/>
    <xf numFmtId="169" fontId="26" fillId="0" borderId="0" xfId="3" applyNumberFormat="1" applyFont="1" applyFill="1" applyBorder="1" applyAlignment="1">
      <alignment horizontal="right"/>
    </xf>
    <xf numFmtId="0" fontId="26" fillId="0" borderId="16" xfId="0" applyFont="1" applyFill="1" applyBorder="1"/>
    <xf numFmtId="0" fontId="26" fillId="0" borderId="0" xfId="0" applyFont="1" applyFill="1" applyBorder="1" applyAlignment="1">
      <alignment horizontal="right"/>
    </xf>
    <xf numFmtId="170" fontId="26" fillId="19" borderId="0" xfId="0" applyNumberFormat="1" applyFont="1" applyFill="1" applyBorder="1" applyAlignment="1">
      <alignment horizontal="right"/>
    </xf>
    <xf numFmtId="9" fontId="26" fillId="0" borderId="16" xfId="1" applyNumberFormat="1" applyFont="1" applyBorder="1" applyAlignment="1">
      <alignment horizontal="left" indent="1"/>
    </xf>
    <xf numFmtId="170" fontId="26" fillId="0" borderId="0" xfId="0" applyNumberFormat="1" applyFont="1" applyFill="1" applyBorder="1" applyAlignment="1">
      <alignment horizontal="right" wrapText="1"/>
    </xf>
    <xf numFmtId="0" fontId="78" fillId="0" borderId="0" xfId="0" applyFont="1" applyFill="1"/>
    <xf numFmtId="2" fontId="26" fillId="0" borderId="0" xfId="0" applyNumberFormat="1" applyFont="1" applyFill="1" applyBorder="1"/>
    <xf numFmtId="7" fontId="79" fillId="19" borderId="0" xfId="3" applyNumberFormat="1" applyFont="1" applyFill="1" applyBorder="1" applyAlignment="1">
      <alignment horizontal="right"/>
    </xf>
    <xf numFmtId="7" fontId="79" fillId="0" borderId="0" xfId="3" applyNumberFormat="1" applyFont="1" applyFill="1" applyBorder="1" applyAlignment="1">
      <alignment horizontal="right"/>
    </xf>
    <xf numFmtId="7" fontId="26" fillId="18" borderId="0" xfId="3" applyNumberFormat="1" applyFont="1" applyFill="1" applyBorder="1" applyAlignment="1">
      <alignment horizontal="right"/>
    </xf>
    <xf numFmtId="41" fontId="83" fillId="0" borderId="16" xfId="0" applyNumberFormat="1" applyFont="1" applyFill="1" applyBorder="1" applyAlignment="1"/>
    <xf numFmtId="7" fontId="26" fillId="0" borderId="0" xfId="3" applyNumberFormat="1" applyFont="1" applyFill="1" applyBorder="1" applyAlignment="1">
      <alignment horizontal="right"/>
    </xf>
    <xf numFmtId="0" fontId="26" fillId="0" borderId="18" xfId="0" applyFont="1" applyFill="1" applyBorder="1"/>
    <xf numFmtId="170" fontId="26" fillId="0" borderId="3" xfId="0" applyNumberFormat="1" applyFont="1" applyFill="1" applyBorder="1" applyAlignment="1">
      <alignment horizontal="right"/>
    </xf>
    <xf numFmtId="170" fontId="26" fillId="0" borderId="3" xfId="3" applyNumberFormat="1" applyFont="1" applyFill="1" applyBorder="1" applyAlignment="1">
      <alignment horizontal="right"/>
    </xf>
    <xf numFmtId="0" fontId="26" fillId="0" borderId="17" xfId="0" applyFont="1" applyFill="1" applyBorder="1"/>
    <xf numFmtId="41" fontId="26" fillId="0" borderId="0" xfId="0" applyNumberFormat="1" applyFont="1" applyFill="1" applyBorder="1" applyAlignment="1">
      <alignment horizontal="left"/>
    </xf>
    <xf numFmtId="0" fontId="26" fillId="0" borderId="3" xfId="0" applyFont="1" applyFill="1" applyBorder="1"/>
    <xf numFmtId="43" fontId="26" fillId="0" borderId="3" xfId="0" applyNumberFormat="1" applyFont="1" applyFill="1" applyBorder="1"/>
    <xf numFmtId="0" fontId="35" fillId="0" borderId="0" xfId="18" applyFont="1"/>
    <xf numFmtId="0" fontId="83" fillId="6" borderId="19" xfId="0" applyFont="1" applyFill="1" applyBorder="1"/>
    <xf numFmtId="41" fontId="81" fillId="6" borderId="14" xfId="0" applyNumberFormat="1" applyFont="1" applyFill="1" applyBorder="1"/>
    <xf numFmtId="41" fontId="81" fillId="6" borderId="54" xfId="0" applyNumberFormat="1" applyFont="1" applyFill="1" applyBorder="1"/>
    <xf numFmtId="41" fontId="26" fillId="16" borderId="4" xfId="0" applyNumberFormat="1" applyFont="1" applyFill="1" applyBorder="1"/>
    <xf numFmtId="41" fontId="26" fillId="16" borderId="20" xfId="0" applyNumberFormat="1" applyFont="1" applyFill="1" applyBorder="1" applyAlignment="1">
      <alignment horizontal="center"/>
    </xf>
    <xf numFmtId="7" fontId="33" fillId="18" borderId="0" xfId="105" applyNumberFormat="1" applyFont="1" applyFill="1" applyBorder="1"/>
    <xf numFmtId="41" fontId="78" fillId="0" borderId="16" xfId="0" applyNumberFormat="1" applyFont="1" applyFill="1" applyBorder="1" applyAlignment="1">
      <alignment horizontal="center"/>
    </xf>
    <xf numFmtId="41" fontId="78" fillId="16" borderId="20" xfId="0" applyNumberFormat="1" applyFont="1" applyFill="1" applyBorder="1" applyAlignment="1">
      <alignment horizontal="center"/>
    </xf>
    <xf numFmtId="41" fontId="78" fillId="16" borderId="4" xfId="0" applyNumberFormat="1" applyFont="1" applyFill="1" applyBorder="1" applyAlignment="1">
      <alignment horizontal="center" wrapText="1"/>
    </xf>
    <xf numFmtId="41" fontId="78" fillId="16" borderId="20" xfId="0" applyNumberFormat="1" applyFont="1" applyFill="1" applyBorder="1" applyAlignment="1">
      <alignment horizontal="center" wrapText="1"/>
    </xf>
    <xf numFmtId="7" fontId="26" fillId="0" borderId="0" xfId="0" applyNumberFormat="1" applyFont="1" applyFill="1" applyBorder="1"/>
    <xf numFmtId="7" fontId="26" fillId="0" borderId="16" xfId="0" applyNumberFormat="1" applyFont="1" applyFill="1" applyBorder="1" applyAlignment="1">
      <alignment horizontal="right"/>
    </xf>
    <xf numFmtId="7" fontId="26" fillId="0" borderId="22" xfId="0" applyNumberFormat="1" applyFont="1" applyFill="1" applyBorder="1"/>
    <xf numFmtId="7" fontId="26" fillId="0" borderId="189" xfId="0" applyNumberFormat="1" applyFont="1" applyFill="1" applyBorder="1" applyAlignment="1">
      <alignment horizontal="right"/>
    </xf>
    <xf numFmtId="7" fontId="26" fillId="0" borderId="3" xfId="0" applyNumberFormat="1" applyFont="1" applyFill="1" applyBorder="1"/>
    <xf numFmtId="7" fontId="26" fillId="0" borderId="17" xfId="0" applyNumberFormat="1" applyFont="1" applyFill="1" applyBorder="1" applyAlignment="1">
      <alignment horizontal="right"/>
    </xf>
    <xf numFmtId="165" fontId="78" fillId="5" borderId="11" xfId="1" applyNumberFormat="1" applyFont="1" applyFill="1" applyBorder="1" applyAlignment="1">
      <alignment horizontal="center" wrapText="1"/>
    </xf>
    <xf numFmtId="165" fontId="78" fillId="5" borderId="20" xfId="1" applyNumberFormat="1" applyFont="1" applyFill="1" applyBorder="1" applyAlignment="1">
      <alignment horizontal="center" wrapText="1"/>
    </xf>
    <xf numFmtId="0" fontId="26" fillId="0" borderId="19" xfId="0" applyFont="1" applyBorder="1"/>
    <xf numFmtId="177" fontId="26" fillId="0" borderId="54" xfId="0" applyNumberFormat="1" applyFont="1" applyBorder="1"/>
    <xf numFmtId="177" fontId="26" fillId="0" borderId="47" xfId="6" applyNumberFormat="1" applyFont="1" applyFill="1" applyBorder="1"/>
    <xf numFmtId="177" fontId="26" fillId="0" borderId="16" xfId="6" applyNumberFormat="1" applyFont="1" applyFill="1" applyBorder="1"/>
    <xf numFmtId="177" fontId="26" fillId="0" borderId="16" xfId="6" applyNumberFormat="1" applyFont="1" applyBorder="1" applyAlignment="1">
      <alignment horizontal="left" indent="1"/>
    </xf>
    <xf numFmtId="177" fontId="26" fillId="0" borderId="16" xfId="6" applyNumberFormat="1" applyFont="1" applyBorder="1" applyAlignment="1">
      <alignment horizontal="right"/>
    </xf>
    <xf numFmtId="177" fontId="26" fillId="0" borderId="189" xfId="6" applyNumberFormat="1" applyFont="1" applyFill="1" applyBorder="1"/>
    <xf numFmtId="177" fontId="26" fillId="0" borderId="98" xfId="6" applyNumberFormat="1" applyFont="1" applyBorder="1"/>
    <xf numFmtId="177" fontId="26" fillId="0" borderId="189" xfId="6" applyNumberFormat="1" applyFont="1" applyBorder="1" applyAlignment="1">
      <alignment horizontal="left" indent="1"/>
    </xf>
    <xf numFmtId="0" fontId="78" fillId="0" borderId="190" xfId="0" applyFont="1" applyBorder="1"/>
    <xf numFmtId="177" fontId="78" fillId="0" borderId="191" xfId="6" applyNumberFormat="1" applyFont="1" applyBorder="1"/>
    <xf numFmtId="177" fontId="26" fillId="0" borderId="192" xfId="6" applyNumberFormat="1" applyFont="1" applyBorder="1"/>
    <xf numFmtId="177" fontId="26" fillId="0" borderId="191" xfId="6" applyNumberFormat="1" applyFont="1" applyBorder="1"/>
    <xf numFmtId="0" fontId="26" fillId="0" borderId="0" xfId="1" applyNumberFormat="1" applyFont="1" applyFill="1" applyBorder="1" applyAlignment="1">
      <alignment horizontal="left"/>
    </xf>
    <xf numFmtId="9" fontId="78" fillId="0" borderId="0" xfId="6" applyFont="1" applyFill="1" applyBorder="1"/>
    <xf numFmtId="165" fontId="78" fillId="0" borderId="0" xfId="0" applyNumberFormat="1" applyFont="1" applyFill="1" applyBorder="1"/>
    <xf numFmtId="43" fontId="26" fillId="0" borderId="0" xfId="0" applyNumberFormat="1" applyFont="1" applyFill="1" applyBorder="1"/>
    <xf numFmtId="9" fontId="26" fillId="0" borderId="0" xfId="6" applyFont="1" applyFill="1" applyBorder="1"/>
    <xf numFmtId="9" fontId="26" fillId="0" borderId="0" xfId="6" applyFont="1" applyBorder="1" applyAlignment="1">
      <alignment horizontal="right"/>
    </xf>
    <xf numFmtId="43" fontId="26" fillId="0" borderId="0" xfId="1" applyNumberFormat="1" applyFont="1" applyBorder="1" applyAlignment="1">
      <alignment horizontal="right"/>
    </xf>
    <xf numFmtId="170" fontId="26" fillId="0" borderId="22" xfId="18" applyNumberFormat="1" applyFont="1" applyBorder="1" applyAlignment="1">
      <alignment horizontal="left" indent="2"/>
    </xf>
    <xf numFmtId="43" fontId="26" fillId="0" borderId="22" xfId="1" applyFont="1" applyBorder="1" applyAlignment="1">
      <alignment horizontal="right"/>
    </xf>
    <xf numFmtId="43" fontId="26" fillId="0" borderId="22" xfId="1" applyFont="1" applyFill="1" applyBorder="1" applyAlignment="1">
      <alignment horizontal="right"/>
    </xf>
    <xf numFmtId="165" fontId="26" fillId="0" borderId="22" xfId="1" applyNumberFormat="1" applyFont="1" applyBorder="1" applyAlignment="1">
      <alignment horizontal="right"/>
    </xf>
    <xf numFmtId="0" fontId="26" fillId="0" borderId="185" xfId="18" applyFont="1" applyBorder="1"/>
    <xf numFmtId="43" fontId="26" fillId="0" borderId="185" xfId="1" applyFont="1" applyBorder="1" applyAlignment="1">
      <alignment horizontal="left" indent="1"/>
    </xf>
    <xf numFmtId="165" fontId="26" fillId="0" borderId="185" xfId="1" applyNumberFormat="1" applyFont="1" applyBorder="1" applyAlignment="1">
      <alignment horizontal="left" indent="1"/>
    </xf>
    <xf numFmtId="0" fontId="26" fillId="0" borderId="0" xfId="18" applyFont="1" applyBorder="1"/>
    <xf numFmtId="165" fontId="26" fillId="0" borderId="22" xfId="1" applyNumberFormat="1" applyFont="1" applyBorder="1" applyAlignment="1">
      <alignment horizontal="left" indent="1"/>
    </xf>
    <xf numFmtId="0" fontId="26" fillId="0" borderId="3" xfId="18" applyFont="1" applyBorder="1"/>
    <xf numFmtId="165" fontId="26" fillId="0" borderId="3" xfId="1" applyNumberFormat="1" applyFont="1" applyBorder="1" applyAlignment="1">
      <alignment horizontal="left" indent="1"/>
    </xf>
    <xf numFmtId="165" fontId="26" fillId="0" borderId="0" xfId="1" applyNumberFormat="1" applyFont="1" applyFill="1" applyBorder="1" applyAlignment="1">
      <alignment horizontal="left" indent="1"/>
    </xf>
    <xf numFmtId="0" fontId="26" fillId="5" borderId="24" xfId="0" applyFont="1" applyFill="1" applyBorder="1" applyAlignment="1"/>
    <xf numFmtId="0" fontId="26" fillId="5" borderId="25" xfId="0" applyFont="1" applyFill="1" applyBorder="1" applyAlignment="1"/>
    <xf numFmtId="0" fontId="26" fillId="5" borderId="23" xfId="0" applyFont="1" applyFill="1" applyBorder="1" applyAlignment="1">
      <alignment horizontal="center"/>
    </xf>
    <xf numFmtId="0" fontId="26" fillId="0" borderId="26" xfId="0" applyFont="1" applyFill="1" applyBorder="1"/>
    <xf numFmtId="0" fontId="26" fillId="0" borderId="26" xfId="0" applyFont="1" applyBorder="1"/>
    <xf numFmtId="0" fontId="26" fillId="0" borderId="36" xfId="0" applyFont="1" applyBorder="1" applyAlignment="1">
      <alignment horizontal="left" indent="1"/>
    </xf>
    <xf numFmtId="165" fontId="26" fillId="0" borderId="27" xfId="1" applyNumberFormat="1" applyFont="1" applyBorder="1" applyAlignment="1">
      <alignment horizontal="right"/>
    </xf>
    <xf numFmtId="165" fontId="26" fillId="0" borderId="27" xfId="1" applyNumberFormat="1" applyFont="1" applyFill="1" applyBorder="1" applyAlignment="1">
      <alignment horizontal="right"/>
    </xf>
    <xf numFmtId="165" fontId="26" fillId="0" borderId="35" xfId="1" applyNumberFormat="1" applyFont="1" applyFill="1" applyBorder="1" applyAlignment="1">
      <alignment horizontal="right"/>
    </xf>
    <xf numFmtId="165" fontId="26" fillId="0" borderId="11" xfId="1" applyNumberFormat="1" applyFont="1" applyFill="1" applyBorder="1" applyAlignment="1">
      <alignment horizontal="right"/>
    </xf>
    <xf numFmtId="165" fontId="26" fillId="0" borderId="21" xfId="1" applyNumberFormat="1" applyFont="1" applyFill="1" applyBorder="1" applyAlignment="1">
      <alignment horizontal="right"/>
    </xf>
    <xf numFmtId="165" fontId="26" fillId="0" borderId="35" xfId="1" applyNumberFormat="1" applyFont="1" applyBorder="1" applyAlignment="1">
      <alignment horizontal="right"/>
    </xf>
    <xf numFmtId="0" fontId="78" fillId="0" borderId="4" xfId="0" applyFont="1" applyBorder="1" applyAlignment="1">
      <alignment horizontal="left" indent="1"/>
    </xf>
    <xf numFmtId="165" fontId="78" fillId="0" borderId="193" xfId="1" applyNumberFormat="1" applyFont="1" applyFill="1" applyBorder="1" applyAlignment="1">
      <alignment horizontal="right"/>
    </xf>
    <xf numFmtId="2" fontId="26" fillId="0" borderId="0" xfId="1" applyNumberFormat="1" applyFont="1" applyFill="1" applyBorder="1"/>
    <xf numFmtId="2" fontId="26" fillId="0" borderId="0" xfId="6" applyNumberFormat="1" applyFont="1" applyFill="1" applyBorder="1"/>
    <xf numFmtId="0" fontId="78" fillId="0" borderId="15" xfId="0" applyFont="1" applyFill="1" applyBorder="1"/>
    <xf numFmtId="0" fontId="78" fillId="0" borderId="15" xfId="0" applyFont="1" applyFill="1" applyBorder="1" applyAlignment="1">
      <alignment horizontal="center"/>
    </xf>
    <xf numFmtId="181" fontId="78" fillId="0" borderId="15" xfId="0" applyNumberFormat="1" applyFont="1" applyFill="1" applyBorder="1" applyAlignment="1">
      <alignment horizontal="center"/>
    </xf>
    <xf numFmtId="165" fontId="117" fillId="0" borderId="15" xfId="0" applyNumberFormat="1" applyFont="1" applyFill="1" applyBorder="1"/>
    <xf numFmtId="9" fontId="78" fillId="0" borderId="15" xfId="6" applyFont="1" applyFill="1" applyBorder="1"/>
    <xf numFmtId="9" fontId="26" fillId="0" borderId="0" xfId="6" applyFont="1" applyFill="1" applyBorder="1" applyAlignment="1">
      <alignment horizontal="right"/>
    </xf>
    <xf numFmtId="9" fontId="26" fillId="0" borderId="0" xfId="6" applyFont="1" applyFill="1"/>
    <xf numFmtId="169" fontId="0" fillId="0" borderId="0" xfId="0" applyNumberFormat="1"/>
    <xf numFmtId="165" fontId="23" fillId="0" borderId="20" xfId="1" applyNumberFormat="1" applyFont="1" applyFill="1" applyBorder="1"/>
    <xf numFmtId="165" fontId="23" fillId="0" borderId="17" xfId="1" applyNumberFormat="1" applyFont="1" applyFill="1" applyBorder="1"/>
    <xf numFmtId="0" fontId="66" fillId="0" borderId="0" xfId="7" applyFont="1" applyFill="1" applyBorder="1"/>
    <xf numFmtId="0" fontId="23" fillId="0" borderId="0" xfId="0" applyFont="1" applyFill="1" applyBorder="1"/>
    <xf numFmtId="0" fontId="0" fillId="0" borderId="0" xfId="0" applyFill="1" applyBorder="1"/>
    <xf numFmtId="0" fontId="119" fillId="0" borderId="0" xfId="0" applyFont="1" applyFill="1" applyBorder="1" applyAlignment="1">
      <alignment vertical="center"/>
    </xf>
    <xf numFmtId="0" fontId="119" fillId="0" borderId="0" xfId="0" applyFont="1" applyFill="1" applyBorder="1" applyAlignment="1">
      <alignment horizontal="center" vertical="center" wrapText="1"/>
    </xf>
    <xf numFmtId="0" fontId="119" fillId="0" borderId="0" xfId="0" applyFont="1" applyFill="1" applyBorder="1" applyAlignment="1">
      <alignment horizontal="center" vertical="center"/>
    </xf>
    <xf numFmtId="0" fontId="23" fillId="0" borderId="0" xfId="0" applyFont="1" applyFill="1" applyBorder="1" applyAlignment="1">
      <alignment vertical="center"/>
    </xf>
    <xf numFmtId="6" fontId="23" fillId="0" borderId="0" xfId="0" applyNumberFormat="1" applyFont="1" applyFill="1" applyBorder="1" applyAlignment="1">
      <alignment horizontal="right" vertical="center" wrapText="1"/>
    </xf>
    <xf numFmtId="0" fontId="23" fillId="0" borderId="0" xfId="0" applyFont="1" applyFill="1" applyBorder="1" applyAlignment="1">
      <alignment horizontal="right" vertical="center" wrapText="1"/>
    </xf>
    <xf numFmtId="0" fontId="23" fillId="0" borderId="0" xfId="0" applyFont="1" applyFill="1" applyBorder="1" applyAlignment="1">
      <alignment horizontal="right" vertical="center"/>
    </xf>
    <xf numFmtId="3" fontId="23" fillId="0" borderId="0" xfId="0" applyNumberFormat="1" applyFont="1" applyFill="1" applyBorder="1" applyAlignment="1">
      <alignment horizontal="right" vertical="center" wrapText="1"/>
    </xf>
    <xf numFmtId="3" fontId="23" fillId="0" borderId="0" xfId="0" applyNumberFormat="1" applyFont="1" applyFill="1" applyBorder="1" applyAlignment="1">
      <alignment horizontal="right" vertical="center"/>
    </xf>
    <xf numFmtId="6" fontId="119" fillId="0" borderId="0" xfId="0" applyNumberFormat="1" applyFont="1" applyFill="1" applyBorder="1" applyAlignment="1">
      <alignment horizontal="right" vertical="center" wrapText="1"/>
    </xf>
    <xf numFmtId="0" fontId="120" fillId="0" borderId="0" xfId="3771" applyAlignment="1">
      <alignment vertical="center"/>
    </xf>
    <xf numFmtId="0" fontId="78" fillId="0" borderId="14" xfId="0" applyFont="1" applyFill="1" applyBorder="1" applyAlignment="1">
      <alignment horizontal="center"/>
    </xf>
    <xf numFmtId="41" fontId="83" fillId="0" borderId="0" xfId="0" applyNumberFormat="1" applyFont="1" applyFill="1" applyBorder="1" applyAlignment="1">
      <alignment horizontal="left" wrapText="1"/>
    </xf>
    <xf numFmtId="0" fontId="78" fillId="5" borderId="21" xfId="0" applyFont="1" applyFill="1" applyBorder="1" applyAlignment="1">
      <alignment horizontal="center" wrapText="1"/>
    </xf>
    <xf numFmtId="0" fontId="78" fillId="5" borderId="20" xfId="0" applyFont="1" applyFill="1" applyBorder="1" applyAlignment="1">
      <alignment horizontal="center" wrapText="1"/>
    </xf>
    <xf numFmtId="0" fontId="35" fillId="0" borderId="21" xfId="0" applyFont="1" applyBorder="1" applyAlignment="1">
      <alignment horizontal="left"/>
    </xf>
    <xf numFmtId="0" fontId="35" fillId="0" borderId="4" xfId="0" applyFont="1" applyBorder="1" applyAlignment="1">
      <alignment horizontal="left"/>
    </xf>
    <xf numFmtId="0" fontId="35" fillId="0" borderId="20" xfId="0" applyFont="1" applyBorder="1" applyAlignment="1">
      <alignment horizontal="left"/>
    </xf>
    <xf numFmtId="0" fontId="78" fillId="5" borderId="19" xfId="0" applyFont="1" applyFill="1" applyBorder="1" applyAlignment="1">
      <alignment horizontal="left" vertical="center"/>
    </xf>
    <xf numFmtId="0" fontId="78" fillId="5" borderId="15" xfId="0" applyFont="1" applyFill="1" applyBorder="1" applyAlignment="1">
      <alignment horizontal="left" vertical="center"/>
    </xf>
    <xf numFmtId="0" fontId="78" fillId="5" borderId="153" xfId="0" applyFont="1" applyFill="1" applyBorder="1" applyAlignment="1">
      <alignment horizontal="left" vertical="center"/>
    </xf>
    <xf numFmtId="0" fontId="78" fillId="5" borderId="32" xfId="0" applyFont="1" applyFill="1" applyBorder="1" applyAlignment="1">
      <alignment horizontal="left" vertical="center"/>
    </xf>
    <xf numFmtId="0" fontId="78" fillId="16" borderId="137" xfId="0" applyFont="1" applyFill="1" applyBorder="1" applyAlignment="1"/>
    <xf numFmtId="0" fontId="78" fillId="16" borderId="138" xfId="0" applyFont="1" applyFill="1" applyBorder="1" applyAlignment="1"/>
    <xf numFmtId="0" fontId="78" fillId="5" borderId="50" xfId="0" applyFont="1" applyFill="1" applyBorder="1" applyAlignment="1">
      <alignment horizontal="center"/>
    </xf>
    <xf numFmtId="0" fontId="78" fillId="5" borderId="52" xfId="0" applyFont="1" applyFill="1" applyBorder="1" applyAlignment="1">
      <alignment horizontal="center"/>
    </xf>
    <xf numFmtId="0" fontId="26" fillId="0" borderId="0" xfId="0" applyFont="1" applyBorder="1" applyAlignment="1">
      <alignment horizontal="left"/>
    </xf>
    <xf numFmtId="0" fontId="18" fillId="0" borderId="0" xfId="0" applyFont="1" applyBorder="1"/>
    <xf numFmtId="0" fontId="26" fillId="0" borderId="1" xfId="0" applyFont="1" applyBorder="1" applyAlignment="1">
      <alignment horizontal="left"/>
    </xf>
    <xf numFmtId="0" fontId="18" fillId="0" borderId="1" xfId="0" applyFont="1" applyBorder="1"/>
    <xf numFmtId="0" fontId="66" fillId="0" borderId="21" xfId="7" applyFont="1" applyBorder="1"/>
    <xf numFmtId="0" fontId="66" fillId="0" borderId="4" xfId="7" applyFont="1" applyBorder="1"/>
    <xf numFmtId="0" fontId="27" fillId="5" borderId="49" xfId="7" applyFont="1" applyFill="1" applyBorder="1" applyAlignment="1">
      <alignment horizontal="center"/>
    </xf>
    <xf numFmtId="0" fontId="27" fillId="5" borderId="51" xfId="7" applyFont="1" applyFill="1" applyBorder="1" applyAlignment="1">
      <alignment horizontal="center"/>
    </xf>
    <xf numFmtId="166" fontId="28" fillId="4" borderId="13" xfId="8" applyNumberFormat="1" applyFont="1" applyFill="1" applyBorder="1"/>
    <xf numFmtId="166" fontId="28" fillId="4" borderId="6" xfId="8" applyNumberFormat="1" applyFont="1" applyFill="1" applyBorder="1"/>
    <xf numFmtId="165" fontId="23" fillId="19" borderId="0" xfId="1" applyNumberFormat="1" applyFont="1" applyFill="1" applyBorder="1"/>
    <xf numFmtId="165" fontId="23" fillId="19" borderId="16" xfId="1" applyNumberFormat="1" applyFont="1" applyFill="1" applyBorder="1"/>
    <xf numFmtId="0" fontId="47" fillId="9" borderId="46" xfId="7" applyFont="1" applyFill="1" applyBorder="1" applyAlignment="1">
      <alignment horizontal="center" vertical="center" textRotation="90"/>
    </xf>
    <xf numFmtId="0" fontId="47" fillId="9" borderId="47" xfId="7" applyFont="1" applyFill="1" applyBorder="1" applyAlignment="1">
      <alignment horizontal="center" vertical="center" textRotation="90"/>
    </xf>
    <xf numFmtId="0" fontId="47" fillId="9" borderId="53" xfId="7" applyFont="1" applyFill="1" applyBorder="1" applyAlignment="1">
      <alignment horizontal="center" vertical="center" textRotation="90"/>
    </xf>
    <xf numFmtId="0" fontId="47" fillId="9" borderId="57" xfId="7" applyFont="1" applyFill="1" applyBorder="1" applyAlignment="1">
      <alignment horizontal="center" vertical="center" textRotation="90"/>
    </xf>
    <xf numFmtId="0" fontId="66" fillId="0" borderId="0" xfId="7" applyFont="1" applyFill="1" applyBorder="1"/>
    <xf numFmtId="0" fontId="18" fillId="0" borderId="0" xfId="7" applyFont="1" applyBorder="1" applyAlignment="1">
      <alignment wrapText="1"/>
    </xf>
    <xf numFmtId="0" fontId="17" fillId="0" borderId="0" xfId="7" applyBorder="1" applyAlignment="1">
      <alignment wrapText="1"/>
    </xf>
    <xf numFmtId="0" fontId="50" fillId="0" borderId="0" xfId="7" applyFont="1" applyAlignment="1">
      <alignment vertical="center" wrapText="1"/>
    </xf>
    <xf numFmtId="0" fontId="17" fillId="0" borderId="0" xfId="7" applyAlignment="1">
      <alignment vertical="center" wrapText="1"/>
    </xf>
    <xf numFmtId="0" fontId="51" fillId="0" borderId="54" xfId="7" applyFont="1" applyBorder="1" applyAlignment="1">
      <alignment horizontal="center" wrapText="1"/>
    </xf>
    <xf numFmtId="0" fontId="51" fillId="0" borderId="16" xfId="7" applyFont="1" applyBorder="1" applyAlignment="1">
      <alignment horizontal="center" wrapText="1"/>
    </xf>
    <xf numFmtId="0" fontId="18" fillId="0" borderId="17" xfId="7" applyFont="1" applyBorder="1" applyAlignment="1">
      <alignment horizontal="center" wrapText="1"/>
    </xf>
    <xf numFmtId="0" fontId="51" fillId="0" borderId="11" xfId="7" applyFont="1" applyBorder="1" applyAlignment="1">
      <alignment horizontal="center" wrapText="1"/>
    </xf>
    <xf numFmtId="0" fontId="51" fillId="0" borderId="46" xfId="7" applyFont="1" applyBorder="1" applyAlignment="1">
      <alignment horizontal="center" wrapText="1"/>
    </xf>
    <xf numFmtId="0" fontId="51" fillId="0" borderId="48" xfId="7" applyFont="1" applyBorder="1" applyAlignment="1">
      <alignment horizontal="center" wrapText="1"/>
    </xf>
    <xf numFmtId="0" fontId="51" fillId="0" borderId="21" xfId="7" applyFont="1" applyBorder="1" applyAlignment="1">
      <alignment horizontal="center" wrapText="1"/>
    </xf>
    <xf numFmtId="0" fontId="51" fillId="0" borderId="20" xfId="7" applyFont="1" applyBorder="1" applyAlignment="1">
      <alignment horizontal="center" wrapText="1"/>
    </xf>
    <xf numFmtId="0" fontId="51" fillId="0" borderId="19" xfId="7" applyFont="1" applyBorder="1" applyAlignment="1">
      <alignment horizontal="center" wrapText="1"/>
    </xf>
    <xf numFmtId="0" fontId="51" fillId="0" borderId="18" xfId="7" applyFont="1" applyBorder="1" applyAlignment="1">
      <alignment horizontal="center" wrapText="1"/>
    </xf>
    <xf numFmtId="0" fontId="18" fillId="0" borderId="0" xfId="0" applyNumberFormat="1" applyFont="1" applyAlignment="1">
      <alignment vertical="top" wrapText="1"/>
    </xf>
    <xf numFmtId="0" fontId="0" fillId="0" borderId="0" xfId="0" applyAlignment="1"/>
    <xf numFmtId="0" fontId="0" fillId="0" borderId="0" xfId="0" applyNumberFormat="1" applyAlignment="1">
      <alignment vertical="top" wrapText="1"/>
    </xf>
    <xf numFmtId="4" fontId="51" fillId="0" borderId="19" xfId="0" applyNumberFormat="1" applyFont="1" applyBorder="1" applyAlignment="1">
      <alignment horizontal="center" vertical="center" wrapText="1"/>
    </xf>
    <xf numFmtId="4" fontId="18" fillId="0" borderId="15" xfId="0" applyNumberFormat="1" applyFont="1" applyBorder="1" applyAlignment="1">
      <alignment horizontal="center" vertical="center" wrapText="1"/>
    </xf>
    <xf numFmtId="4" fontId="18" fillId="0" borderId="18" xfId="0" applyNumberFormat="1" applyFont="1" applyBorder="1" applyAlignment="1">
      <alignment horizontal="center" vertical="center" wrapText="1"/>
    </xf>
    <xf numFmtId="4" fontId="51" fillId="0" borderId="46" xfId="0" applyNumberFormat="1" applyFont="1" applyBorder="1" applyAlignment="1">
      <alignment horizontal="center" vertical="center" wrapText="1"/>
    </xf>
    <xf numFmtId="4" fontId="0" fillId="0" borderId="47" xfId="0" applyNumberFormat="1" applyBorder="1" applyAlignment="1">
      <alignment horizontal="center" vertical="center" wrapText="1"/>
    </xf>
    <xf numFmtId="4" fontId="0" fillId="0" borderId="48" xfId="0" applyNumberFormat="1" applyBorder="1" applyAlignment="1">
      <alignment horizontal="center" vertical="center" wrapText="1"/>
    </xf>
    <xf numFmtId="182" fontId="51" fillId="0" borderId="46" xfId="0" applyNumberFormat="1" applyFont="1" applyBorder="1" applyAlignment="1">
      <alignment horizontal="center" vertical="center" wrapText="1"/>
    </xf>
    <xf numFmtId="182" fontId="18" fillId="0" borderId="47" xfId="0" applyNumberFormat="1" applyFont="1" applyBorder="1" applyAlignment="1">
      <alignment horizontal="center" vertical="center" wrapText="1"/>
    </xf>
    <xf numFmtId="182" fontId="18" fillId="0" borderId="48" xfId="0" applyNumberFormat="1" applyFont="1" applyBorder="1" applyAlignment="1">
      <alignment horizontal="center" vertical="center" wrapText="1"/>
    </xf>
    <xf numFmtId="0" fontId="18" fillId="0" borderId="14" xfId="7" applyFont="1" applyBorder="1" applyAlignment="1">
      <alignment wrapText="1"/>
    </xf>
    <xf numFmtId="0" fontId="17" fillId="0" borderId="14" xfId="7" applyBorder="1" applyAlignment="1">
      <alignment wrapText="1"/>
    </xf>
    <xf numFmtId="0" fontId="21" fillId="0" borderId="0" xfId="0" applyFont="1" applyAlignment="1">
      <alignment horizontal="left" vertical="center" wrapText="1"/>
    </xf>
    <xf numFmtId="0" fontId="17" fillId="0" borderId="0" xfId="0" applyFont="1" applyAlignment="1">
      <alignment horizontal="left" vertical="center" wrapText="1"/>
    </xf>
    <xf numFmtId="0" fontId="51" fillId="0" borderId="19" xfId="0" applyFont="1" applyBorder="1" applyAlignment="1">
      <alignment horizontal="center" vertical="center"/>
    </xf>
    <xf numFmtId="0" fontId="51" fillId="0" borderId="14" xfId="0" applyFont="1" applyBorder="1" applyAlignment="1">
      <alignment horizontal="center" vertical="center"/>
    </xf>
    <xf numFmtId="0" fontId="51" fillId="0" borderId="54" xfId="0" applyFont="1" applyBorder="1" applyAlignment="1">
      <alignment horizontal="center" vertical="center"/>
    </xf>
    <xf numFmtId="0" fontId="51" fillId="0" borderId="18" xfId="0" applyFont="1" applyBorder="1" applyAlignment="1">
      <alignment horizontal="center" vertical="center"/>
    </xf>
    <xf numFmtId="0" fontId="51" fillId="0" borderId="3" xfId="0" applyFont="1" applyBorder="1" applyAlignment="1">
      <alignment horizontal="center" vertical="center"/>
    </xf>
    <xf numFmtId="0" fontId="51" fillId="0" borderId="17" xfId="0" applyFont="1" applyBorder="1" applyAlignment="1">
      <alignment horizontal="center" vertical="center"/>
    </xf>
    <xf numFmtId="2" fontId="51" fillId="0" borderId="46" xfId="0" applyNumberFormat="1" applyFont="1" applyBorder="1" applyAlignment="1">
      <alignment horizontal="center" vertical="center" wrapText="1"/>
    </xf>
    <xf numFmtId="2" fontId="0" fillId="0" borderId="47" xfId="0" applyNumberFormat="1" applyBorder="1" applyAlignment="1">
      <alignment horizontal="center" vertical="center" wrapText="1"/>
    </xf>
    <xf numFmtId="2" fontId="0" fillId="0" borderId="48" xfId="0" applyNumberFormat="1" applyBorder="1" applyAlignment="1">
      <alignment horizontal="center" vertical="center" wrapText="1"/>
    </xf>
    <xf numFmtId="3" fontId="51" fillId="0" borderId="46" xfId="0" applyNumberFormat="1" applyFont="1" applyBorder="1" applyAlignment="1">
      <alignment horizontal="center" vertical="center" wrapText="1"/>
    </xf>
    <xf numFmtId="3" fontId="18" fillId="0" borderId="47" xfId="0" applyNumberFormat="1" applyFont="1" applyBorder="1" applyAlignment="1">
      <alignment horizontal="center" vertical="center" wrapText="1"/>
    </xf>
    <xf numFmtId="3" fontId="18" fillId="0" borderId="48" xfId="0" applyNumberFormat="1" applyFont="1" applyBorder="1" applyAlignment="1">
      <alignment horizontal="center" vertical="center" wrapText="1"/>
    </xf>
    <xf numFmtId="173" fontId="51" fillId="0" borderId="47" xfId="0" applyNumberFormat="1" applyFont="1" applyBorder="1" applyAlignment="1">
      <alignment horizontal="center" vertical="center" wrapText="1"/>
    </xf>
    <xf numFmtId="173" fontId="18" fillId="0" borderId="47" xfId="0" applyNumberFormat="1" applyFont="1" applyBorder="1" applyAlignment="1">
      <alignment horizontal="center" vertical="center" wrapText="1"/>
    </xf>
    <xf numFmtId="173" fontId="18" fillId="0" borderId="48" xfId="0" applyNumberFormat="1" applyFont="1" applyBorder="1" applyAlignment="1">
      <alignment horizontal="center" vertical="center" wrapText="1"/>
    </xf>
    <xf numFmtId="0" fontId="51" fillId="0" borderId="16" xfId="0" applyFont="1" applyBorder="1" applyAlignment="1">
      <alignment horizontal="center" vertical="center" wrapText="1"/>
    </xf>
    <xf numFmtId="0" fontId="0" fillId="0" borderId="16" xfId="0" applyBorder="1" applyAlignment="1">
      <alignment horizontal="center" vertical="center" wrapText="1"/>
    </xf>
    <xf numFmtId="2" fontId="51" fillId="0" borderId="47" xfId="0" applyNumberFormat="1" applyFont="1" applyBorder="1" applyAlignment="1">
      <alignment horizontal="center" vertical="center" wrapText="1"/>
    </xf>
    <xf numFmtId="3" fontId="51" fillId="0" borderId="47" xfId="0" applyNumberFormat="1" applyFont="1" applyBorder="1" applyAlignment="1">
      <alignment horizontal="center" vertical="center" wrapText="1"/>
    </xf>
    <xf numFmtId="0" fontId="18" fillId="0" borderId="0" xfId="7" applyFont="1" applyAlignment="1">
      <alignment wrapText="1"/>
    </xf>
    <xf numFmtId="0" fontId="18" fillId="0" borderId="0" xfId="7" applyFont="1" applyAlignment="1"/>
    <xf numFmtId="0" fontId="18" fillId="0" borderId="14" xfId="7" applyNumberFormat="1" applyFont="1" applyBorder="1" applyAlignment="1">
      <alignment vertical="top" wrapText="1"/>
    </xf>
    <xf numFmtId="0" fontId="18" fillId="0" borderId="0" xfId="7" applyNumberFormat="1" applyFont="1" applyAlignment="1">
      <alignment vertical="top" wrapText="1"/>
    </xf>
    <xf numFmtId="173" fontId="51" fillId="0" borderId="46" xfId="7" applyNumberFormat="1" applyFont="1" applyBorder="1" applyAlignment="1">
      <alignment horizontal="center" vertical="center" wrapText="1"/>
    </xf>
    <xf numFmtId="173" fontId="18" fillId="0" borderId="48" xfId="7" applyNumberFormat="1" applyFont="1" applyBorder="1" applyAlignment="1">
      <alignment horizontal="center" vertical="center" wrapText="1"/>
    </xf>
    <xf numFmtId="0" fontId="51" fillId="0" borderId="0" xfId="7" applyFont="1" applyAlignment="1">
      <alignment vertical="center" wrapText="1"/>
    </xf>
    <xf numFmtId="0" fontId="18" fillId="0" borderId="3" xfId="7" applyFont="1" applyBorder="1" applyAlignment="1">
      <alignment vertical="center" wrapText="1"/>
    </xf>
    <xf numFmtId="2" fontId="51" fillId="0" borderId="19" xfId="7" applyNumberFormat="1" applyFont="1" applyBorder="1" applyAlignment="1">
      <alignment horizontal="center" vertical="center"/>
    </xf>
    <xf numFmtId="2" fontId="18" fillId="0" borderId="14" xfId="7" applyNumberFormat="1" applyFont="1" applyBorder="1" applyAlignment="1">
      <alignment horizontal="center" vertical="center"/>
    </xf>
    <xf numFmtId="2" fontId="18" fillId="0" borderId="18" xfId="7" applyNumberFormat="1" applyFont="1" applyBorder="1" applyAlignment="1">
      <alignment horizontal="center" vertical="center"/>
    </xf>
    <xf numFmtId="2" fontId="18" fillId="0" borderId="3" xfId="7" applyNumberFormat="1" applyFont="1" applyBorder="1" applyAlignment="1">
      <alignment horizontal="center" vertical="center"/>
    </xf>
    <xf numFmtId="173" fontId="51" fillId="0" borderId="47" xfId="7" applyNumberFormat="1" applyFont="1" applyBorder="1" applyAlignment="1">
      <alignment horizontal="center" vertical="center" wrapText="1"/>
    </xf>
    <xf numFmtId="173" fontId="18" fillId="0" borderId="47" xfId="7" applyNumberFormat="1" applyFont="1" applyBorder="1" applyAlignment="1">
      <alignment horizontal="center" vertical="center" wrapText="1"/>
    </xf>
    <xf numFmtId="2" fontId="51" fillId="0" borderId="46" xfId="7" applyNumberFormat="1" applyFont="1" applyBorder="1" applyAlignment="1">
      <alignment horizontal="center" vertical="center" wrapText="1"/>
    </xf>
    <xf numFmtId="2" fontId="51" fillId="0" borderId="47" xfId="7" applyNumberFormat="1" applyFont="1" applyBorder="1" applyAlignment="1">
      <alignment horizontal="center" vertical="center" wrapText="1"/>
    </xf>
    <xf numFmtId="2" fontId="51" fillId="0" borderId="48" xfId="7" applyNumberFormat="1" applyFont="1" applyBorder="1" applyAlignment="1">
      <alignment horizontal="center" vertical="center" wrapText="1"/>
    </xf>
    <xf numFmtId="2" fontId="51" fillId="0" borderId="54" xfId="7" applyNumberFormat="1" applyFont="1" applyBorder="1" applyAlignment="1">
      <alignment horizontal="center" vertical="center"/>
    </xf>
    <xf numFmtId="2" fontId="18" fillId="0" borderId="17" xfId="7" applyNumberFormat="1" applyFont="1" applyBorder="1" applyAlignment="1">
      <alignment horizontal="center" vertical="center"/>
    </xf>
    <xf numFmtId="2" fontId="51" fillId="0" borderId="19" xfId="7" applyNumberFormat="1" applyFont="1" applyBorder="1" applyAlignment="1">
      <alignment horizontal="center" vertical="center" wrapText="1"/>
    </xf>
    <xf numFmtId="2" fontId="51" fillId="0" borderId="15" xfId="7" applyNumberFormat="1" applyFont="1" applyBorder="1" applyAlignment="1">
      <alignment horizontal="center" vertical="center" wrapText="1"/>
    </xf>
    <xf numFmtId="2" fontId="51" fillId="0" borderId="18" xfId="7" applyNumberFormat="1" applyFont="1" applyBorder="1" applyAlignment="1">
      <alignment horizontal="center" vertical="center" wrapText="1"/>
    </xf>
    <xf numFmtId="0" fontId="17" fillId="0" borderId="0" xfId="7" applyNumberFormat="1" applyAlignment="1">
      <alignment vertical="top" wrapText="1"/>
    </xf>
    <xf numFmtId="0" fontId="21" fillId="0" borderId="0" xfId="7" applyFont="1" applyAlignment="1">
      <alignment horizontal="left" vertical="center" wrapText="1"/>
    </xf>
    <xf numFmtId="0" fontId="21" fillId="0" borderId="0" xfId="7" applyFont="1" applyAlignment="1">
      <alignment horizontal="left" vertical="center"/>
    </xf>
    <xf numFmtId="0" fontId="17" fillId="0" borderId="3" xfId="7" applyFont="1" applyBorder="1" applyAlignment="1">
      <alignment horizontal="left" vertical="center"/>
    </xf>
    <xf numFmtId="173" fontId="51" fillId="0" borderId="48" xfId="7" applyNumberFormat="1" applyFont="1" applyBorder="1" applyAlignment="1">
      <alignment horizontal="center" vertical="center" wrapText="1"/>
    </xf>
    <xf numFmtId="173" fontId="51" fillId="0" borderId="14" xfId="7" applyNumberFormat="1" applyFont="1" applyBorder="1" applyAlignment="1">
      <alignment horizontal="center" vertical="center"/>
    </xf>
    <xf numFmtId="173" fontId="18" fillId="0" borderId="14" xfId="7" applyNumberFormat="1" applyFont="1" applyBorder="1" applyAlignment="1">
      <alignment horizontal="center" vertical="center"/>
    </xf>
    <xf numFmtId="173" fontId="18" fillId="0" borderId="3" xfId="7" applyNumberFormat="1" applyFont="1" applyBorder="1" applyAlignment="1">
      <alignment horizontal="center" vertical="center"/>
    </xf>
    <xf numFmtId="173" fontId="17" fillId="0" borderId="48" xfId="7" applyNumberFormat="1" applyBorder="1" applyAlignment="1">
      <alignment horizontal="center" vertical="center" wrapText="1"/>
    </xf>
    <xf numFmtId="173" fontId="51" fillId="0" borderId="19" xfId="7" applyNumberFormat="1" applyFont="1" applyBorder="1" applyAlignment="1">
      <alignment horizontal="center" vertical="center" wrapText="1"/>
    </xf>
    <xf numFmtId="173" fontId="17" fillId="0" borderId="18" xfId="7" applyNumberFormat="1" applyBorder="1" applyAlignment="1">
      <alignment horizontal="center" vertical="center" wrapText="1"/>
    </xf>
    <xf numFmtId="0" fontId="41" fillId="9" borderId="53" xfId="7" applyFont="1" applyFill="1" applyBorder="1" applyAlignment="1">
      <alignment horizontal="center" vertical="center" textRotation="90"/>
    </xf>
    <xf numFmtId="0" fontId="41" fillId="9" borderId="57" xfId="7" applyFont="1" applyFill="1" applyBorder="1" applyAlignment="1">
      <alignment horizontal="center" vertical="center" textRotation="90"/>
    </xf>
    <xf numFmtId="0" fontId="43" fillId="0" borderId="21" xfId="7" applyFont="1" applyBorder="1"/>
    <xf numFmtId="0" fontId="43" fillId="0" borderId="4" xfId="7" applyFont="1" applyBorder="1"/>
    <xf numFmtId="0" fontId="17" fillId="0" borderId="0" xfId="0" quotePrefix="1"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21" fillId="0" borderId="0" xfId="0" quotePrefix="1" applyFont="1" applyFill="1" applyAlignment="1">
      <alignment horizontal="left" wrapText="1"/>
    </xf>
    <xf numFmtId="0" fontId="17" fillId="0" borderId="0" xfId="0" applyFont="1" applyAlignment="1">
      <alignment wrapText="1"/>
    </xf>
    <xf numFmtId="0" fontId="17" fillId="0" borderId="0" xfId="0" quotePrefix="1" applyFont="1" applyAlignment="1">
      <alignment horizontal="left" wrapText="1"/>
    </xf>
    <xf numFmtId="0" fontId="17" fillId="0" borderId="0" xfId="0" applyFont="1" applyAlignment="1">
      <alignment horizontal="left" wrapText="1"/>
    </xf>
    <xf numFmtId="0" fontId="58" fillId="0" borderId="29" xfId="0" applyFont="1" applyBorder="1" applyAlignment="1">
      <alignment horizontal="left" vertical="top" wrapText="1"/>
    </xf>
    <xf numFmtId="0" fontId="58" fillId="0" borderId="0" xfId="0" applyFont="1" applyBorder="1" applyAlignment="1">
      <alignment horizontal="left" vertical="top" wrapText="1"/>
    </xf>
    <xf numFmtId="0" fontId="58" fillId="0" borderId="34" xfId="0" applyFont="1" applyBorder="1" applyAlignment="1">
      <alignment horizontal="left" vertical="top" wrapText="1"/>
    </xf>
    <xf numFmtId="0" fontId="57" fillId="0" borderId="23" xfId="0" applyFont="1" applyBorder="1" applyAlignment="1">
      <alignment wrapText="1"/>
    </xf>
    <xf numFmtId="0" fontId="60" fillId="6" borderId="7" xfId="0" applyFont="1" applyFill="1" applyBorder="1" applyAlignment="1">
      <alignment horizontal="center"/>
    </xf>
    <xf numFmtId="0" fontId="60" fillId="6" borderId="79" xfId="0" applyFont="1" applyFill="1" applyBorder="1" applyAlignment="1">
      <alignment horizontal="center"/>
    </xf>
  </cellXfs>
  <cellStyles count="3772">
    <cellStyle name="20% - Accent1" xfId="78" builtinId="30" customBuiltin="1"/>
    <cellStyle name="20% - Accent1 2" xfId="145"/>
    <cellStyle name="20% - Accent1 2 2" xfId="992"/>
    <cellStyle name="20% - Accent1 2 2 2" xfId="2662"/>
    <cellStyle name="20% - Accent1 2 3" xfId="3495"/>
    <cellStyle name="20% - Accent1 2 4" xfId="1825"/>
    <cellStyle name="20% - Accent1 3" xfId="237"/>
    <cellStyle name="20% - Accent1 3 2" xfId="1084"/>
    <cellStyle name="20% - Accent1 3 2 2" xfId="2754"/>
    <cellStyle name="20% - Accent1 3 3" xfId="3587"/>
    <cellStyle name="20% - Accent1 3 4" xfId="1917"/>
    <cellStyle name="20% - Accent1 4" xfId="331"/>
    <cellStyle name="20% - Accent1 4 2" xfId="1176"/>
    <cellStyle name="20% - Accent1 4 2 2" xfId="2846"/>
    <cellStyle name="20% - Accent1 4 3" xfId="3679"/>
    <cellStyle name="20% - Accent1 4 4" xfId="2009"/>
    <cellStyle name="20% - Accent1 5" xfId="644"/>
    <cellStyle name="20% - Accent1 5 2" xfId="1485"/>
    <cellStyle name="20% - Accent1 5 2 2" xfId="3155"/>
    <cellStyle name="20% - Accent1 5 3" xfId="2318"/>
    <cellStyle name="20% - Accent1 6" xfId="878"/>
    <cellStyle name="20% - Accent1 6 2" xfId="1719"/>
    <cellStyle name="20% - Accent1 6 2 2" xfId="3389"/>
    <cellStyle name="20% - Accent1 6 3" xfId="2552"/>
    <cellStyle name="20% - Accent1 7" xfId="937"/>
    <cellStyle name="20% - Accent1 7 2" xfId="2607"/>
    <cellStyle name="20% - Accent1 8" xfId="3440"/>
    <cellStyle name="20% - Accent1 9" xfId="1770"/>
    <cellStyle name="20% - Accent2" xfId="82" builtinId="34" customBuiltin="1"/>
    <cellStyle name="20% - Accent2 2" xfId="147"/>
    <cellStyle name="20% - Accent2 2 2" xfId="994"/>
    <cellStyle name="20% - Accent2 2 2 2" xfId="2664"/>
    <cellStyle name="20% - Accent2 2 3" xfId="3497"/>
    <cellStyle name="20% - Accent2 2 4" xfId="1827"/>
    <cellStyle name="20% - Accent2 3" xfId="239"/>
    <cellStyle name="20% - Accent2 3 2" xfId="1086"/>
    <cellStyle name="20% - Accent2 3 2 2" xfId="2756"/>
    <cellStyle name="20% - Accent2 3 3" xfId="3589"/>
    <cellStyle name="20% - Accent2 3 4" xfId="1919"/>
    <cellStyle name="20% - Accent2 4" xfId="333"/>
    <cellStyle name="20% - Accent2 4 2" xfId="1178"/>
    <cellStyle name="20% - Accent2 4 2 2" xfId="2848"/>
    <cellStyle name="20% - Accent2 4 3" xfId="3681"/>
    <cellStyle name="20% - Accent2 4 4" xfId="2011"/>
    <cellStyle name="20% - Accent2 5" xfId="646"/>
    <cellStyle name="20% - Accent2 5 2" xfId="1487"/>
    <cellStyle name="20% - Accent2 5 2 2" xfId="3157"/>
    <cellStyle name="20% - Accent2 5 3" xfId="2320"/>
    <cellStyle name="20% - Accent2 6" xfId="880"/>
    <cellStyle name="20% - Accent2 6 2" xfId="1721"/>
    <cellStyle name="20% - Accent2 6 2 2" xfId="3391"/>
    <cellStyle name="20% - Accent2 6 3" xfId="2554"/>
    <cellStyle name="20% - Accent2 7" xfId="939"/>
    <cellStyle name="20% - Accent2 7 2" xfId="2609"/>
    <cellStyle name="20% - Accent2 8" xfId="3442"/>
    <cellStyle name="20% - Accent2 9" xfId="1772"/>
    <cellStyle name="20% - Accent3" xfId="86" builtinId="38" customBuiltin="1"/>
    <cellStyle name="20% - Accent3 2" xfId="149"/>
    <cellStyle name="20% - Accent3 2 2" xfId="996"/>
    <cellStyle name="20% - Accent3 2 2 2" xfId="2666"/>
    <cellStyle name="20% - Accent3 2 3" xfId="3499"/>
    <cellStyle name="20% - Accent3 2 4" xfId="1829"/>
    <cellStyle name="20% - Accent3 3" xfId="241"/>
    <cellStyle name="20% - Accent3 3 2" xfId="1088"/>
    <cellStyle name="20% - Accent3 3 2 2" xfId="2758"/>
    <cellStyle name="20% - Accent3 3 3" xfId="3591"/>
    <cellStyle name="20% - Accent3 3 4" xfId="1921"/>
    <cellStyle name="20% - Accent3 4" xfId="335"/>
    <cellStyle name="20% - Accent3 4 2" xfId="1180"/>
    <cellStyle name="20% - Accent3 4 2 2" xfId="2850"/>
    <cellStyle name="20% - Accent3 4 3" xfId="3683"/>
    <cellStyle name="20% - Accent3 4 4" xfId="2013"/>
    <cellStyle name="20% - Accent3 5" xfId="648"/>
    <cellStyle name="20% - Accent3 5 2" xfId="1489"/>
    <cellStyle name="20% - Accent3 5 2 2" xfId="3159"/>
    <cellStyle name="20% - Accent3 5 3" xfId="2322"/>
    <cellStyle name="20% - Accent3 6" xfId="882"/>
    <cellStyle name="20% - Accent3 6 2" xfId="1723"/>
    <cellStyle name="20% - Accent3 6 2 2" xfId="3393"/>
    <cellStyle name="20% - Accent3 6 3" xfId="2556"/>
    <cellStyle name="20% - Accent3 7" xfId="941"/>
    <cellStyle name="20% - Accent3 7 2" xfId="2611"/>
    <cellStyle name="20% - Accent3 8" xfId="3444"/>
    <cellStyle name="20% - Accent3 9" xfId="1774"/>
    <cellStyle name="20% - Accent4" xfId="90" builtinId="42" customBuiltin="1"/>
    <cellStyle name="20% - Accent4 2" xfId="151"/>
    <cellStyle name="20% - Accent4 2 2" xfId="998"/>
    <cellStyle name="20% - Accent4 2 2 2" xfId="2668"/>
    <cellStyle name="20% - Accent4 2 3" xfId="3501"/>
    <cellStyle name="20% - Accent4 2 4" xfId="1831"/>
    <cellStyle name="20% - Accent4 3" xfId="243"/>
    <cellStyle name="20% - Accent4 3 2" xfId="1090"/>
    <cellStyle name="20% - Accent4 3 2 2" xfId="2760"/>
    <cellStyle name="20% - Accent4 3 3" xfId="3593"/>
    <cellStyle name="20% - Accent4 3 4" xfId="1923"/>
    <cellStyle name="20% - Accent4 4" xfId="337"/>
    <cellStyle name="20% - Accent4 4 2" xfId="1182"/>
    <cellStyle name="20% - Accent4 4 2 2" xfId="2852"/>
    <cellStyle name="20% - Accent4 4 3" xfId="3685"/>
    <cellStyle name="20% - Accent4 4 4" xfId="2015"/>
    <cellStyle name="20% - Accent4 5" xfId="650"/>
    <cellStyle name="20% - Accent4 5 2" xfId="1491"/>
    <cellStyle name="20% - Accent4 5 2 2" xfId="3161"/>
    <cellStyle name="20% - Accent4 5 3" xfId="2324"/>
    <cellStyle name="20% - Accent4 6" xfId="884"/>
    <cellStyle name="20% - Accent4 6 2" xfId="1725"/>
    <cellStyle name="20% - Accent4 6 2 2" xfId="3395"/>
    <cellStyle name="20% - Accent4 6 3" xfId="2558"/>
    <cellStyle name="20% - Accent4 7" xfId="943"/>
    <cellStyle name="20% - Accent4 7 2" xfId="2613"/>
    <cellStyle name="20% - Accent4 8" xfId="3446"/>
    <cellStyle name="20% - Accent4 9" xfId="1776"/>
    <cellStyle name="20% - Accent5" xfId="94" builtinId="46" customBuiltin="1"/>
    <cellStyle name="20% - Accent5 2" xfId="153"/>
    <cellStyle name="20% - Accent5 2 2" xfId="1000"/>
    <cellStyle name="20% - Accent5 2 2 2" xfId="2670"/>
    <cellStyle name="20% - Accent5 2 3" xfId="3503"/>
    <cellStyle name="20% - Accent5 2 4" xfId="1833"/>
    <cellStyle name="20% - Accent5 3" xfId="245"/>
    <cellStyle name="20% - Accent5 3 2" xfId="1092"/>
    <cellStyle name="20% - Accent5 3 2 2" xfId="2762"/>
    <cellStyle name="20% - Accent5 3 3" xfId="3595"/>
    <cellStyle name="20% - Accent5 3 4" xfId="1925"/>
    <cellStyle name="20% - Accent5 4" xfId="339"/>
    <cellStyle name="20% - Accent5 4 2" xfId="1184"/>
    <cellStyle name="20% - Accent5 4 2 2" xfId="2854"/>
    <cellStyle name="20% - Accent5 4 3" xfId="3687"/>
    <cellStyle name="20% - Accent5 4 4" xfId="2017"/>
    <cellStyle name="20% - Accent5 5" xfId="652"/>
    <cellStyle name="20% - Accent5 5 2" xfId="1493"/>
    <cellStyle name="20% - Accent5 5 2 2" xfId="3163"/>
    <cellStyle name="20% - Accent5 5 3" xfId="2326"/>
    <cellStyle name="20% - Accent5 6" xfId="886"/>
    <cellStyle name="20% - Accent5 6 2" xfId="1727"/>
    <cellStyle name="20% - Accent5 6 2 2" xfId="3397"/>
    <cellStyle name="20% - Accent5 6 3" xfId="2560"/>
    <cellStyle name="20% - Accent5 7" xfId="945"/>
    <cellStyle name="20% - Accent5 7 2" xfId="2615"/>
    <cellStyle name="20% - Accent5 8" xfId="3448"/>
    <cellStyle name="20% - Accent5 9" xfId="1778"/>
    <cellStyle name="20% - Accent6" xfId="98" builtinId="50" customBuiltin="1"/>
    <cellStyle name="20% - Accent6 2" xfId="155"/>
    <cellStyle name="20% - Accent6 2 2" xfId="1002"/>
    <cellStyle name="20% - Accent6 2 2 2" xfId="2672"/>
    <cellStyle name="20% - Accent6 2 3" xfId="3505"/>
    <cellStyle name="20% - Accent6 2 4" xfId="1835"/>
    <cellStyle name="20% - Accent6 3" xfId="247"/>
    <cellStyle name="20% - Accent6 3 2" xfId="1094"/>
    <cellStyle name="20% - Accent6 3 2 2" xfId="2764"/>
    <cellStyle name="20% - Accent6 3 3" xfId="3597"/>
    <cellStyle name="20% - Accent6 3 4" xfId="1927"/>
    <cellStyle name="20% - Accent6 4" xfId="341"/>
    <cellStyle name="20% - Accent6 4 2" xfId="1186"/>
    <cellStyle name="20% - Accent6 4 2 2" xfId="2856"/>
    <cellStyle name="20% - Accent6 4 3" xfId="3689"/>
    <cellStyle name="20% - Accent6 4 4" xfId="2019"/>
    <cellStyle name="20% - Accent6 5" xfId="654"/>
    <cellStyle name="20% - Accent6 5 2" xfId="1495"/>
    <cellStyle name="20% - Accent6 5 2 2" xfId="3165"/>
    <cellStyle name="20% - Accent6 5 3" xfId="2328"/>
    <cellStyle name="20% - Accent6 6" xfId="888"/>
    <cellStyle name="20% - Accent6 6 2" xfId="1729"/>
    <cellStyle name="20% - Accent6 6 2 2" xfId="3399"/>
    <cellStyle name="20% - Accent6 6 3" xfId="2562"/>
    <cellStyle name="20% - Accent6 7" xfId="947"/>
    <cellStyle name="20% - Accent6 7 2" xfId="2617"/>
    <cellStyle name="20% - Accent6 8" xfId="3450"/>
    <cellStyle name="20% - Accent6 9" xfId="1780"/>
    <cellStyle name="40% - Accent1" xfId="79" builtinId="31" customBuiltin="1"/>
    <cellStyle name="40% - Accent1 2" xfId="146"/>
    <cellStyle name="40% - Accent1 2 2" xfId="993"/>
    <cellStyle name="40% - Accent1 2 2 2" xfId="2663"/>
    <cellStyle name="40% - Accent1 2 3" xfId="3496"/>
    <cellStyle name="40% - Accent1 2 4" xfId="1826"/>
    <cellStyle name="40% - Accent1 3" xfId="238"/>
    <cellStyle name="40% - Accent1 3 2" xfId="1085"/>
    <cellStyle name="40% - Accent1 3 2 2" xfId="2755"/>
    <cellStyle name="40% - Accent1 3 3" xfId="3588"/>
    <cellStyle name="40% - Accent1 3 4" xfId="1918"/>
    <cellStyle name="40% - Accent1 4" xfId="332"/>
    <cellStyle name="40% - Accent1 4 2" xfId="1177"/>
    <cellStyle name="40% - Accent1 4 2 2" xfId="2847"/>
    <cellStyle name="40% - Accent1 4 3" xfId="3680"/>
    <cellStyle name="40% - Accent1 4 4" xfId="2010"/>
    <cellStyle name="40% - Accent1 5" xfId="645"/>
    <cellStyle name="40% - Accent1 5 2" xfId="1486"/>
    <cellStyle name="40% - Accent1 5 2 2" xfId="3156"/>
    <cellStyle name="40% - Accent1 5 3" xfId="2319"/>
    <cellStyle name="40% - Accent1 6" xfId="879"/>
    <cellStyle name="40% - Accent1 6 2" xfId="1720"/>
    <cellStyle name="40% - Accent1 6 2 2" xfId="3390"/>
    <cellStyle name="40% - Accent1 6 3" xfId="2553"/>
    <cellStyle name="40% - Accent1 7" xfId="938"/>
    <cellStyle name="40% - Accent1 7 2" xfId="2608"/>
    <cellStyle name="40% - Accent1 8" xfId="3441"/>
    <cellStyle name="40% - Accent1 9" xfId="1771"/>
    <cellStyle name="40% - Accent2" xfId="83" builtinId="35" customBuiltin="1"/>
    <cellStyle name="40% - Accent2 2" xfId="148"/>
    <cellStyle name="40% - Accent2 2 2" xfId="995"/>
    <cellStyle name="40% - Accent2 2 2 2" xfId="2665"/>
    <cellStyle name="40% - Accent2 2 3" xfId="3498"/>
    <cellStyle name="40% - Accent2 2 4" xfId="1828"/>
    <cellStyle name="40% - Accent2 3" xfId="240"/>
    <cellStyle name="40% - Accent2 3 2" xfId="1087"/>
    <cellStyle name="40% - Accent2 3 2 2" xfId="2757"/>
    <cellStyle name="40% - Accent2 3 3" xfId="3590"/>
    <cellStyle name="40% - Accent2 3 4" xfId="1920"/>
    <cellStyle name="40% - Accent2 4" xfId="334"/>
    <cellStyle name="40% - Accent2 4 2" xfId="1179"/>
    <cellStyle name="40% - Accent2 4 2 2" xfId="2849"/>
    <cellStyle name="40% - Accent2 4 3" xfId="3682"/>
    <cellStyle name="40% - Accent2 4 4" xfId="2012"/>
    <cellStyle name="40% - Accent2 5" xfId="647"/>
    <cellStyle name="40% - Accent2 5 2" xfId="1488"/>
    <cellStyle name="40% - Accent2 5 2 2" xfId="3158"/>
    <cellStyle name="40% - Accent2 5 3" xfId="2321"/>
    <cellStyle name="40% - Accent2 6" xfId="881"/>
    <cellStyle name="40% - Accent2 6 2" xfId="1722"/>
    <cellStyle name="40% - Accent2 6 2 2" xfId="3392"/>
    <cellStyle name="40% - Accent2 6 3" xfId="2555"/>
    <cellStyle name="40% - Accent2 7" xfId="940"/>
    <cellStyle name="40% - Accent2 7 2" xfId="2610"/>
    <cellStyle name="40% - Accent2 8" xfId="3443"/>
    <cellStyle name="40% - Accent2 9" xfId="1773"/>
    <cellStyle name="40% - Accent3" xfId="87" builtinId="39" customBuiltin="1"/>
    <cellStyle name="40% - Accent3 2" xfId="150"/>
    <cellStyle name="40% - Accent3 2 2" xfId="997"/>
    <cellStyle name="40% - Accent3 2 2 2" xfId="2667"/>
    <cellStyle name="40% - Accent3 2 3" xfId="3500"/>
    <cellStyle name="40% - Accent3 2 4" xfId="1830"/>
    <cellStyle name="40% - Accent3 3" xfId="242"/>
    <cellStyle name="40% - Accent3 3 2" xfId="1089"/>
    <cellStyle name="40% - Accent3 3 2 2" xfId="2759"/>
    <cellStyle name="40% - Accent3 3 3" xfId="3592"/>
    <cellStyle name="40% - Accent3 3 4" xfId="1922"/>
    <cellStyle name="40% - Accent3 4" xfId="336"/>
    <cellStyle name="40% - Accent3 4 2" xfId="1181"/>
    <cellStyle name="40% - Accent3 4 2 2" xfId="2851"/>
    <cellStyle name="40% - Accent3 4 3" xfId="3684"/>
    <cellStyle name="40% - Accent3 4 4" xfId="2014"/>
    <cellStyle name="40% - Accent3 5" xfId="649"/>
    <cellStyle name="40% - Accent3 5 2" xfId="1490"/>
    <cellStyle name="40% - Accent3 5 2 2" xfId="3160"/>
    <cellStyle name="40% - Accent3 5 3" xfId="2323"/>
    <cellStyle name="40% - Accent3 6" xfId="883"/>
    <cellStyle name="40% - Accent3 6 2" xfId="1724"/>
    <cellStyle name="40% - Accent3 6 2 2" xfId="3394"/>
    <cellStyle name="40% - Accent3 6 3" xfId="2557"/>
    <cellStyle name="40% - Accent3 7" xfId="942"/>
    <cellStyle name="40% - Accent3 7 2" xfId="2612"/>
    <cellStyle name="40% - Accent3 8" xfId="3445"/>
    <cellStyle name="40% - Accent3 9" xfId="1775"/>
    <cellStyle name="40% - Accent4" xfId="91" builtinId="43" customBuiltin="1"/>
    <cellStyle name="40% - Accent4 2" xfId="152"/>
    <cellStyle name="40% - Accent4 2 2" xfId="999"/>
    <cellStyle name="40% - Accent4 2 2 2" xfId="2669"/>
    <cellStyle name="40% - Accent4 2 3" xfId="3502"/>
    <cellStyle name="40% - Accent4 2 4" xfId="1832"/>
    <cellStyle name="40% - Accent4 3" xfId="244"/>
    <cellStyle name="40% - Accent4 3 2" xfId="1091"/>
    <cellStyle name="40% - Accent4 3 2 2" xfId="2761"/>
    <cellStyle name="40% - Accent4 3 3" xfId="3594"/>
    <cellStyle name="40% - Accent4 3 4" xfId="1924"/>
    <cellStyle name="40% - Accent4 4" xfId="338"/>
    <cellStyle name="40% - Accent4 4 2" xfId="1183"/>
    <cellStyle name="40% - Accent4 4 2 2" xfId="2853"/>
    <cellStyle name="40% - Accent4 4 3" xfId="3686"/>
    <cellStyle name="40% - Accent4 4 4" xfId="2016"/>
    <cellStyle name="40% - Accent4 5" xfId="651"/>
    <cellStyle name="40% - Accent4 5 2" xfId="1492"/>
    <cellStyle name="40% - Accent4 5 2 2" xfId="3162"/>
    <cellStyle name="40% - Accent4 5 3" xfId="2325"/>
    <cellStyle name="40% - Accent4 6" xfId="885"/>
    <cellStyle name="40% - Accent4 6 2" xfId="1726"/>
    <cellStyle name="40% - Accent4 6 2 2" xfId="3396"/>
    <cellStyle name="40% - Accent4 6 3" xfId="2559"/>
    <cellStyle name="40% - Accent4 7" xfId="944"/>
    <cellStyle name="40% - Accent4 7 2" xfId="2614"/>
    <cellStyle name="40% - Accent4 8" xfId="3447"/>
    <cellStyle name="40% - Accent4 9" xfId="1777"/>
    <cellStyle name="40% - Accent5" xfId="95" builtinId="47" customBuiltin="1"/>
    <cellStyle name="40% - Accent5 2" xfId="154"/>
    <cellStyle name="40% - Accent5 2 2" xfId="1001"/>
    <cellStyle name="40% - Accent5 2 2 2" xfId="2671"/>
    <cellStyle name="40% - Accent5 2 3" xfId="3504"/>
    <cellStyle name="40% - Accent5 2 4" xfId="1834"/>
    <cellStyle name="40% - Accent5 3" xfId="246"/>
    <cellStyle name="40% - Accent5 3 2" xfId="1093"/>
    <cellStyle name="40% - Accent5 3 2 2" xfId="2763"/>
    <cellStyle name="40% - Accent5 3 3" xfId="3596"/>
    <cellStyle name="40% - Accent5 3 4" xfId="1926"/>
    <cellStyle name="40% - Accent5 4" xfId="340"/>
    <cellStyle name="40% - Accent5 4 2" xfId="1185"/>
    <cellStyle name="40% - Accent5 4 2 2" xfId="2855"/>
    <cellStyle name="40% - Accent5 4 3" xfId="3688"/>
    <cellStyle name="40% - Accent5 4 4" xfId="2018"/>
    <cellStyle name="40% - Accent5 5" xfId="653"/>
    <cellStyle name="40% - Accent5 5 2" xfId="1494"/>
    <cellStyle name="40% - Accent5 5 2 2" xfId="3164"/>
    <cellStyle name="40% - Accent5 5 3" xfId="2327"/>
    <cellStyle name="40% - Accent5 6" xfId="887"/>
    <cellStyle name="40% - Accent5 6 2" xfId="1728"/>
    <cellStyle name="40% - Accent5 6 2 2" xfId="3398"/>
    <cellStyle name="40% - Accent5 6 3" xfId="2561"/>
    <cellStyle name="40% - Accent5 7" xfId="946"/>
    <cellStyle name="40% - Accent5 7 2" xfId="2616"/>
    <cellStyle name="40% - Accent5 8" xfId="3449"/>
    <cellStyle name="40% - Accent5 9" xfId="1779"/>
    <cellStyle name="40% - Accent6" xfId="99" builtinId="51" customBuiltin="1"/>
    <cellStyle name="40% - Accent6 2" xfId="156"/>
    <cellStyle name="40% - Accent6 2 2" xfId="1003"/>
    <cellStyle name="40% - Accent6 2 2 2" xfId="2673"/>
    <cellStyle name="40% - Accent6 2 3" xfId="3506"/>
    <cellStyle name="40% - Accent6 2 4" xfId="1836"/>
    <cellStyle name="40% - Accent6 3" xfId="248"/>
    <cellStyle name="40% - Accent6 3 2" xfId="1095"/>
    <cellStyle name="40% - Accent6 3 2 2" xfId="2765"/>
    <cellStyle name="40% - Accent6 3 3" xfId="3598"/>
    <cellStyle name="40% - Accent6 3 4" xfId="1928"/>
    <cellStyle name="40% - Accent6 4" xfId="342"/>
    <cellStyle name="40% - Accent6 4 2" xfId="1187"/>
    <cellStyle name="40% - Accent6 4 2 2" xfId="2857"/>
    <cellStyle name="40% - Accent6 4 3" xfId="3690"/>
    <cellStyle name="40% - Accent6 4 4" xfId="2020"/>
    <cellStyle name="40% - Accent6 5" xfId="655"/>
    <cellStyle name="40% - Accent6 5 2" xfId="1496"/>
    <cellStyle name="40% - Accent6 5 2 2" xfId="3166"/>
    <cellStyle name="40% - Accent6 5 3" xfId="2329"/>
    <cellStyle name="40% - Accent6 6" xfId="889"/>
    <cellStyle name="40% - Accent6 6 2" xfId="1730"/>
    <cellStyle name="40% - Accent6 6 2 2" xfId="3400"/>
    <cellStyle name="40% - Accent6 6 3" xfId="2563"/>
    <cellStyle name="40% - Accent6 7" xfId="948"/>
    <cellStyle name="40% - Accent6 7 2" xfId="2618"/>
    <cellStyle name="40% - Accent6 8" xfId="3451"/>
    <cellStyle name="40% - Accent6 9" xfId="1781"/>
    <cellStyle name="60% - Accent1" xfId="80" builtinId="32" customBuiltin="1"/>
    <cellStyle name="60% - Accent2" xfId="84" builtinId="36" customBuiltin="1"/>
    <cellStyle name="60% - Accent3" xfId="88" builtinId="40" customBuiltin="1"/>
    <cellStyle name="60% - Accent4" xfId="92" builtinId="44" customBuiltin="1"/>
    <cellStyle name="60% - Accent5" xfId="96" builtinId="48" customBuiltin="1"/>
    <cellStyle name="60% - Accent6" xfId="100" builtinId="52" customBuiltin="1"/>
    <cellStyle name="Accent1" xfId="77" builtinId="29" customBuiltin="1"/>
    <cellStyle name="Accent2" xfId="81" builtinId="33" customBuiltin="1"/>
    <cellStyle name="Accent3" xfId="85" builtinId="37" customBuiltin="1"/>
    <cellStyle name="Accent4" xfId="89" builtinId="41" customBuiltin="1"/>
    <cellStyle name="Accent5" xfId="93" builtinId="45" customBuiltin="1"/>
    <cellStyle name="Accent6" xfId="97" builtinId="49" customBuiltin="1"/>
    <cellStyle name="Bad" xfId="67" builtinId="27" customBuiltin="1"/>
    <cellStyle name="Calculation" xfId="71" builtinId="22" customBuiltin="1"/>
    <cellStyle name="Check Cell" xfId="73" builtinId="23" customBuiltin="1"/>
    <cellStyle name="Comma" xfId="1" builtinId="3"/>
    <cellStyle name="Comma 10" xfId="235"/>
    <cellStyle name="Comma 10 2" xfId="1082"/>
    <cellStyle name="Comma 10 2 2" xfId="2752"/>
    <cellStyle name="Comma 10 3" xfId="3585"/>
    <cellStyle name="Comma 10 4" xfId="1915"/>
    <cellStyle name="Comma 11" xfId="329"/>
    <cellStyle name="Comma 11 2" xfId="1174"/>
    <cellStyle name="Comma 11 2 2" xfId="2844"/>
    <cellStyle name="Comma 11 3" xfId="3677"/>
    <cellStyle name="Comma 11 4" xfId="2007"/>
    <cellStyle name="Comma 12" xfId="900"/>
    <cellStyle name="Comma 12 2" xfId="2570"/>
    <cellStyle name="Comma 2" xfId="2"/>
    <cellStyle name="Comma 2 2" xfId="12"/>
    <cellStyle name="Comma 2 2 10" xfId="660"/>
    <cellStyle name="Comma 2 2 10 2" xfId="1501"/>
    <cellStyle name="Comma 2 2 10 2 2" xfId="3171"/>
    <cellStyle name="Comma 2 2 10 3" xfId="2334"/>
    <cellStyle name="Comma 2 2 11" xfId="899"/>
    <cellStyle name="Comma 2 2 11 2" xfId="2569"/>
    <cellStyle name="Comma 2 2 12" xfId="3405"/>
    <cellStyle name="Comma 2 2 13" xfId="1735"/>
    <cellStyle name="Comma 2 2 2" xfId="31"/>
    <cellStyle name="Comma 2 2 2 10" xfId="3413"/>
    <cellStyle name="Comma 2 2 2 11" xfId="1743"/>
    <cellStyle name="Comma 2 2 2 2" xfId="42"/>
    <cellStyle name="Comma 2 2 2 2 10" xfId="1754"/>
    <cellStyle name="Comma 2 2 2 2 2" xfId="109"/>
    <cellStyle name="Comma 2 2 2 2 2 2" xfId="194"/>
    <cellStyle name="Comma 2 2 2 2 2 2 2" xfId="613"/>
    <cellStyle name="Comma 2 2 2 2 2 2 2 2" xfId="1454"/>
    <cellStyle name="Comma 2 2 2 2 2 2 2 2 2" xfId="3124"/>
    <cellStyle name="Comma 2 2 2 2 2 2 2 3" xfId="2287"/>
    <cellStyle name="Comma 2 2 2 2 2 2 3" xfId="847"/>
    <cellStyle name="Comma 2 2 2 2 2 2 3 2" xfId="1688"/>
    <cellStyle name="Comma 2 2 2 2 2 2 3 2 2" xfId="3358"/>
    <cellStyle name="Comma 2 2 2 2 2 2 3 3" xfId="2521"/>
    <cellStyle name="Comma 2 2 2 2 2 2 4" xfId="1041"/>
    <cellStyle name="Comma 2 2 2 2 2 2 4 2" xfId="2711"/>
    <cellStyle name="Comma 2 2 2 2 2 2 5" xfId="3544"/>
    <cellStyle name="Comma 2 2 2 2 2 2 6" xfId="1874"/>
    <cellStyle name="Comma 2 2 2 2 2 3" xfId="286"/>
    <cellStyle name="Comma 2 2 2 2 2 3 2" xfId="1133"/>
    <cellStyle name="Comma 2 2 2 2 2 3 2 2" xfId="2803"/>
    <cellStyle name="Comma 2 2 2 2 2 3 3" xfId="3636"/>
    <cellStyle name="Comma 2 2 2 2 2 3 4" xfId="1966"/>
    <cellStyle name="Comma 2 2 2 2 2 4" xfId="380"/>
    <cellStyle name="Comma 2 2 2 2 2 4 2" xfId="1225"/>
    <cellStyle name="Comma 2 2 2 2 2 4 2 2" xfId="2895"/>
    <cellStyle name="Comma 2 2 2 2 2 4 3" xfId="3728"/>
    <cellStyle name="Comma 2 2 2 2 2 4 4" xfId="2058"/>
    <cellStyle name="Comma 2 2 2 2 2 5" xfId="502"/>
    <cellStyle name="Comma 2 2 2 2 2 5 2" xfId="1344"/>
    <cellStyle name="Comma 2 2 2 2 2 5 2 2" xfId="3014"/>
    <cellStyle name="Comma 2 2 2 2 2 5 3" xfId="2177"/>
    <cellStyle name="Comma 2 2 2 2 2 6" xfId="737"/>
    <cellStyle name="Comma 2 2 2 2 2 6 2" xfId="1578"/>
    <cellStyle name="Comma 2 2 2 2 2 6 2 2" xfId="3248"/>
    <cellStyle name="Comma 2 2 2 2 2 6 3" xfId="2411"/>
    <cellStyle name="Comma 2 2 2 2 2 7" xfId="956"/>
    <cellStyle name="Comma 2 2 2 2 2 7 2" xfId="2626"/>
    <cellStyle name="Comma 2 2 2 2 2 8" xfId="3459"/>
    <cellStyle name="Comma 2 2 2 2 2 9" xfId="1789"/>
    <cellStyle name="Comma 2 2 2 2 3" xfId="161"/>
    <cellStyle name="Comma 2 2 2 2 3 2" xfId="561"/>
    <cellStyle name="Comma 2 2 2 2 3 2 2" xfId="1402"/>
    <cellStyle name="Comma 2 2 2 2 3 2 2 2" xfId="3072"/>
    <cellStyle name="Comma 2 2 2 2 3 2 3" xfId="2235"/>
    <cellStyle name="Comma 2 2 2 2 3 3" xfId="795"/>
    <cellStyle name="Comma 2 2 2 2 3 3 2" xfId="1636"/>
    <cellStyle name="Comma 2 2 2 2 3 3 2 2" xfId="3306"/>
    <cellStyle name="Comma 2 2 2 2 3 3 3" xfId="2469"/>
    <cellStyle name="Comma 2 2 2 2 3 4" xfId="1008"/>
    <cellStyle name="Comma 2 2 2 2 3 4 2" xfId="2678"/>
    <cellStyle name="Comma 2 2 2 2 3 5" xfId="3511"/>
    <cellStyle name="Comma 2 2 2 2 3 6" xfId="1841"/>
    <cellStyle name="Comma 2 2 2 2 4" xfId="253"/>
    <cellStyle name="Comma 2 2 2 2 4 2" xfId="1100"/>
    <cellStyle name="Comma 2 2 2 2 4 2 2" xfId="2770"/>
    <cellStyle name="Comma 2 2 2 2 4 3" xfId="3603"/>
    <cellStyle name="Comma 2 2 2 2 4 4" xfId="1933"/>
    <cellStyle name="Comma 2 2 2 2 5" xfId="347"/>
    <cellStyle name="Comma 2 2 2 2 5 2" xfId="1192"/>
    <cellStyle name="Comma 2 2 2 2 5 2 2" xfId="2862"/>
    <cellStyle name="Comma 2 2 2 2 5 3" xfId="3695"/>
    <cellStyle name="Comma 2 2 2 2 5 4" xfId="2025"/>
    <cellStyle name="Comma 2 2 2 2 6" xfId="449"/>
    <cellStyle name="Comma 2 2 2 2 6 2" xfId="1292"/>
    <cellStyle name="Comma 2 2 2 2 6 2 2" xfId="2962"/>
    <cellStyle name="Comma 2 2 2 2 6 3" xfId="2125"/>
    <cellStyle name="Comma 2 2 2 2 7" xfId="685"/>
    <cellStyle name="Comma 2 2 2 2 7 2" xfId="1526"/>
    <cellStyle name="Comma 2 2 2 2 7 2 2" xfId="3196"/>
    <cellStyle name="Comma 2 2 2 2 7 3" xfId="2359"/>
    <cellStyle name="Comma 2 2 2 2 8" xfId="921"/>
    <cellStyle name="Comma 2 2 2 2 8 2" xfId="2591"/>
    <cellStyle name="Comma 2 2 2 2 9" xfId="3424"/>
    <cellStyle name="Comma 2 2 2 3" xfId="108"/>
    <cellStyle name="Comma 2 2 2 3 2" xfId="195"/>
    <cellStyle name="Comma 2 2 2 3 2 2" xfId="633"/>
    <cellStyle name="Comma 2 2 2 3 2 2 2" xfId="867"/>
    <cellStyle name="Comma 2 2 2 3 2 2 2 2" xfId="1708"/>
    <cellStyle name="Comma 2 2 2 3 2 2 2 2 2" xfId="3378"/>
    <cellStyle name="Comma 2 2 2 3 2 2 2 3" xfId="2541"/>
    <cellStyle name="Comma 2 2 2 3 2 2 3" xfId="1474"/>
    <cellStyle name="Comma 2 2 2 3 2 2 3 2" xfId="3144"/>
    <cellStyle name="Comma 2 2 2 3 2 2 4" xfId="2307"/>
    <cellStyle name="Comma 2 2 2 3 2 3" xfId="522"/>
    <cellStyle name="Comma 2 2 2 3 2 3 2" xfId="1364"/>
    <cellStyle name="Comma 2 2 2 3 2 3 2 2" xfId="3034"/>
    <cellStyle name="Comma 2 2 2 3 2 3 3" xfId="2197"/>
    <cellStyle name="Comma 2 2 2 3 2 4" xfId="757"/>
    <cellStyle name="Comma 2 2 2 3 2 4 2" xfId="1598"/>
    <cellStyle name="Comma 2 2 2 3 2 4 2 2" xfId="3268"/>
    <cellStyle name="Comma 2 2 2 3 2 4 3" xfId="2431"/>
    <cellStyle name="Comma 2 2 2 3 2 5" xfId="1042"/>
    <cellStyle name="Comma 2 2 2 3 2 5 2" xfId="2712"/>
    <cellStyle name="Comma 2 2 2 3 2 6" xfId="3545"/>
    <cellStyle name="Comma 2 2 2 3 2 7" xfId="1875"/>
    <cellStyle name="Comma 2 2 2 3 3" xfId="287"/>
    <cellStyle name="Comma 2 2 2 3 3 2" xfId="581"/>
    <cellStyle name="Comma 2 2 2 3 3 2 2" xfId="1422"/>
    <cellStyle name="Comma 2 2 2 3 3 2 2 2" xfId="3092"/>
    <cellStyle name="Comma 2 2 2 3 3 2 3" xfId="2255"/>
    <cellStyle name="Comma 2 2 2 3 3 3" xfId="815"/>
    <cellStyle name="Comma 2 2 2 3 3 3 2" xfId="1656"/>
    <cellStyle name="Comma 2 2 2 3 3 3 2 2" xfId="3326"/>
    <cellStyle name="Comma 2 2 2 3 3 3 3" xfId="2489"/>
    <cellStyle name="Comma 2 2 2 3 3 4" xfId="1134"/>
    <cellStyle name="Comma 2 2 2 3 3 4 2" xfId="2804"/>
    <cellStyle name="Comma 2 2 2 3 3 5" xfId="3637"/>
    <cellStyle name="Comma 2 2 2 3 3 6" xfId="1967"/>
    <cellStyle name="Comma 2 2 2 3 4" xfId="381"/>
    <cellStyle name="Comma 2 2 2 3 4 2" xfId="1226"/>
    <cellStyle name="Comma 2 2 2 3 4 2 2" xfId="2896"/>
    <cellStyle name="Comma 2 2 2 3 4 3" xfId="3729"/>
    <cellStyle name="Comma 2 2 2 3 4 4" xfId="2059"/>
    <cellStyle name="Comma 2 2 2 3 5" xfId="470"/>
    <cellStyle name="Comma 2 2 2 3 5 2" xfId="1312"/>
    <cellStyle name="Comma 2 2 2 3 5 2 2" xfId="2982"/>
    <cellStyle name="Comma 2 2 2 3 5 3" xfId="2145"/>
    <cellStyle name="Comma 2 2 2 3 6" xfId="705"/>
    <cellStyle name="Comma 2 2 2 3 6 2" xfId="1546"/>
    <cellStyle name="Comma 2 2 2 3 6 2 2" xfId="3216"/>
    <cellStyle name="Comma 2 2 2 3 6 3" xfId="2379"/>
    <cellStyle name="Comma 2 2 2 3 7" xfId="955"/>
    <cellStyle name="Comma 2 2 2 3 7 2" xfId="2625"/>
    <cellStyle name="Comma 2 2 2 3 8" xfId="3458"/>
    <cellStyle name="Comma 2 2 2 3 9" xfId="1788"/>
    <cellStyle name="Comma 2 2 2 4" xfId="160"/>
    <cellStyle name="Comma 2 2 2 4 2" xfId="599"/>
    <cellStyle name="Comma 2 2 2 4 2 2" xfId="833"/>
    <cellStyle name="Comma 2 2 2 4 2 2 2" xfId="1674"/>
    <cellStyle name="Comma 2 2 2 4 2 2 2 2" xfId="3344"/>
    <cellStyle name="Comma 2 2 2 4 2 2 3" xfId="2507"/>
    <cellStyle name="Comma 2 2 2 4 2 3" xfId="1440"/>
    <cellStyle name="Comma 2 2 2 4 2 3 2" xfId="3110"/>
    <cellStyle name="Comma 2 2 2 4 2 4" xfId="2273"/>
    <cellStyle name="Comma 2 2 2 4 3" xfId="488"/>
    <cellStyle name="Comma 2 2 2 4 3 2" xfId="1330"/>
    <cellStyle name="Comma 2 2 2 4 3 2 2" xfId="3000"/>
    <cellStyle name="Comma 2 2 2 4 3 3" xfId="2163"/>
    <cellStyle name="Comma 2 2 2 4 4" xfId="723"/>
    <cellStyle name="Comma 2 2 2 4 4 2" xfId="1564"/>
    <cellStyle name="Comma 2 2 2 4 4 2 2" xfId="3234"/>
    <cellStyle name="Comma 2 2 2 4 4 3" xfId="2397"/>
    <cellStyle name="Comma 2 2 2 4 5" xfId="1007"/>
    <cellStyle name="Comma 2 2 2 4 5 2" xfId="2677"/>
    <cellStyle name="Comma 2 2 2 4 6" xfId="3510"/>
    <cellStyle name="Comma 2 2 2 4 7" xfId="1840"/>
    <cellStyle name="Comma 2 2 2 5" xfId="252"/>
    <cellStyle name="Comma 2 2 2 5 2" xfId="547"/>
    <cellStyle name="Comma 2 2 2 5 2 2" xfId="1388"/>
    <cellStyle name="Comma 2 2 2 5 2 2 2" xfId="3058"/>
    <cellStyle name="Comma 2 2 2 5 2 3" xfId="2221"/>
    <cellStyle name="Comma 2 2 2 5 3" xfId="781"/>
    <cellStyle name="Comma 2 2 2 5 3 2" xfId="1622"/>
    <cellStyle name="Comma 2 2 2 5 3 2 2" xfId="3292"/>
    <cellStyle name="Comma 2 2 2 5 3 3" xfId="2455"/>
    <cellStyle name="Comma 2 2 2 5 4" xfId="1099"/>
    <cellStyle name="Comma 2 2 2 5 4 2" xfId="2769"/>
    <cellStyle name="Comma 2 2 2 5 5" xfId="3602"/>
    <cellStyle name="Comma 2 2 2 5 6" xfId="1932"/>
    <cellStyle name="Comma 2 2 2 6" xfId="346"/>
    <cellStyle name="Comma 2 2 2 6 2" xfId="1191"/>
    <cellStyle name="Comma 2 2 2 6 2 2" xfId="2861"/>
    <cellStyle name="Comma 2 2 2 6 3" xfId="3694"/>
    <cellStyle name="Comma 2 2 2 6 4" xfId="2024"/>
    <cellStyle name="Comma 2 2 2 7" xfId="435"/>
    <cellStyle name="Comma 2 2 2 7 2" xfId="1278"/>
    <cellStyle name="Comma 2 2 2 7 2 2" xfId="2948"/>
    <cellStyle name="Comma 2 2 2 7 3" xfId="2111"/>
    <cellStyle name="Comma 2 2 2 8" xfId="671"/>
    <cellStyle name="Comma 2 2 2 8 2" xfId="1512"/>
    <cellStyle name="Comma 2 2 2 8 2 2" xfId="3182"/>
    <cellStyle name="Comma 2 2 2 8 3" xfId="2345"/>
    <cellStyle name="Comma 2 2 2 9" xfId="910"/>
    <cellStyle name="Comma 2 2 2 9 2" xfId="2580"/>
    <cellStyle name="Comma 2 2 3" xfId="26"/>
    <cellStyle name="Comma 2 2 3 10" xfId="1740"/>
    <cellStyle name="Comma 2 2 3 2" xfId="110"/>
    <cellStyle name="Comma 2 2 3 2 2" xfId="196"/>
    <cellStyle name="Comma 2 2 3 2 2 2" xfId="630"/>
    <cellStyle name="Comma 2 2 3 2 2 2 2" xfId="864"/>
    <cellStyle name="Comma 2 2 3 2 2 2 2 2" xfId="1705"/>
    <cellStyle name="Comma 2 2 3 2 2 2 2 2 2" xfId="3375"/>
    <cellStyle name="Comma 2 2 3 2 2 2 2 3" xfId="2538"/>
    <cellStyle name="Comma 2 2 3 2 2 2 3" xfId="1471"/>
    <cellStyle name="Comma 2 2 3 2 2 2 3 2" xfId="3141"/>
    <cellStyle name="Comma 2 2 3 2 2 2 4" xfId="2304"/>
    <cellStyle name="Comma 2 2 3 2 2 3" xfId="519"/>
    <cellStyle name="Comma 2 2 3 2 2 3 2" xfId="1361"/>
    <cellStyle name="Comma 2 2 3 2 2 3 2 2" xfId="3031"/>
    <cellStyle name="Comma 2 2 3 2 2 3 3" xfId="2194"/>
    <cellStyle name="Comma 2 2 3 2 2 4" xfId="754"/>
    <cellStyle name="Comma 2 2 3 2 2 4 2" xfId="1595"/>
    <cellStyle name="Comma 2 2 3 2 2 4 2 2" xfId="3265"/>
    <cellStyle name="Comma 2 2 3 2 2 4 3" xfId="2428"/>
    <cellStyle name="Comma 2 2 3 2 2 5" xfId="1043"/>
    <cellStyle name="Comma 2 2 3 2 2 5 2" xfId="2713"/>
    <cellStyle name="Comma 2 2 3 2 2 6" xfId="3546"/>
    <cellStyle name="Comma 2 2 3 2 2 7" xfId="1876"/>
    <cellStyle name="Comma 2 2 3 2 3" xfId="288"/>
    <cellStyle name="Comma 2 2 3 2 3 2" xfId="578"/>
    <cellStyle name="Comma 2 2 3 2 3 2 2" xfId="1419"/>
    <cellStyle name="Comma 2 2 3 2 3 2 2 2" xfId="3089"/>
    <cellStyle name="Comma 2 2 3 2 3 2 3" xfId="2252"/>
    <cellStyle name="Comma 2 2 3 2 3 3" xfId="812"/>
    <cellStyle name="Comma 2 2 3 2 3 3 2" xfId="1653"/>
    <cellStyle name="Comma 2 2 3 2 3 3 2 2" xfId="3323"/>
    <cellStyle name="Comma 2 2 3 2 3 3 3" xfId="2486"/>
    <cellStyle name="Comma 2 2 3 2 3 4" xfId="1135"/>
    <cellStyle name="Comma 2 2 3 2 3 4 2" xfId="2805"/>
    <cellStyle name="Comma 2 2 3 2 3 5" xfId="3638"/>
    <cellStyle name="Comma 2 2 3 2 3 6" xfId="1968"/>
    <cellStyle name="Comma 2 2 3 2 4" xfId="382"/>
    <cellStyle name="Comma 2 2 3 2 4 2" xfId="1227"/>
    <cellStyle name="Comma 2 2 3 2 4 2 2" xfId="2897"/>
    <cellStyle name="Comma 2 2 3 2 4 3" xfId="3730"/>
    <cellStyle name="Comma 2 2 3 2 4 4" xfId="2060"/>
    <cellStyle name="Comma 2 2 3 2 5" xfId="467"/>
    <cellStyle name="Comma 2 2 3 2 5 2" xfId="1309"/>
    <cellStyle name="Comma 2 2 3 2 5 2 2" xfId="2979"/>
    <cellStyle name="Comma 2 2 3 2 5 3" xfId="2142"/>
    <cellStyle name="Comma 2 2 3 2 6" xfId="702"/>
    <cellStyle name="Comma 2 2 3 2 6 2" xfId="1543"/>
    <cellStyle name="Comma 2 2 3 2 6 2 2" xfId="3213"/>
    <cellStyle name="Comma 2 2 3 2 6 3" xfId="2376"/>
    <cellStyle name="Comma 2 2 3 2 7" xfId="957"/>
    <cellStyle name="Comma 2 2 3 2 7 2" xfId="2627"/>
    <cellStyle name="Comma 2 2 3 2 8" xfId="3460"/>
    <cellStyle name="Comma 2 2 3 2 9" xfId="1790"/>
    <cellStyle name="Comma 2 2 3 3" xfId="162"/>
    <cellStyle name="Comma 2 2 3 3 2" xfId="596"/>
    <cellStyle name="Comma 2 2 3 3 2 2" xfId="830"/>
    <cellStyle name="Comma 2 2 3 3 2 2 2" xfId="1671"/>
    <cellStyle name="Comma 2 2 3 3 2 2 2 2" xfId="3341"/>
    <cellStyle name="Comma 2 2 3 3 2 2 3" xfId="2504"/>
    <cellStyle name="Comma 2 2 3 3 2 3" xfId="1437"/>
    <cellStyle name="Comma 2 2 3 3 2 3 2" xfId="3107"/>
    <cellStyle name="Comma 2 2 3 3 2 4" xfId="2270"/>
    <cellStyle name="Comma 2 2 3 3 3" xfId="485"/>
    <cellStyle name="Comma 2 2 3 3 3 2" xfId="1327"/>
    <cellStyle name="Comma 2 2 3 3 3 2 2" xfId="2997"/>
    <cellStyle name="Comma 2 2 3 3 3 3" xfId="2160"/>
    <cellStyle name="Comma 2 2 3 3 4" xfId="720"/>
    <cellStyle name="Comma 2 2 3 3 4 2" xfId="1561"/>
    <cellStyle name="Comma 2 2 3 3 4 2 2" xfId="3231"/>
    <cellStyle name="Comma 2 2 3 3 4 3" xfId="2394"/>
    <cellStyle name="Comma 2 2 3 3 5" xfId="1009"/>
    <cellStyle name="Comma 2 2 3 3 5 2" xfId="2679"/>
    <cellStyle name="Comma 2 2 3 3 6" xfId="3512"/>
    <cellStyle name="Comma 2 2 3 3 7" xfId="1842"/>
    <cellStyle name="Comma 2 2 3 4" xfId="254"/>
    <cellStyle name="Comma 2 2 3 4 2" xfId="544"/>
    <cellStyle name="Comma 2 2 3 4 2 2" xfId="1385"/>
    <cellStyle name="Comma 2 2 3 4 2 2 2" xfId="3055"/>
    <cellStyle name="Comma 2 2 3 4 2 3" xfId="2218"/>
    <cellStyle name="Comma 2 2 3 4 3" xfId="778"/>
    <cellStyle name="Comma 2 2 3 4 3 2" xfId="1619"/>
    <cellStyle name="Comma 2 2 3 4 3 2 2" xfId="3289"/>
    <cellStyle name="Comma 2 2 3 4 3 3" xfId="2452"/>
    <cellStyle name="Comma 2 2 3 4 4" xfId="1101"/>
    <cellStyle name="Comma 2 2 3 4 4 2" xfId="2771"/>
    <cellStyle name="Comma 2 2 3 4 5" xfId="3604"/>
    <cellStyle name="Comma 2 2 3 4 6" xfId="1934"/>
    <cellStyle name="Comma 2 2 3 5" xfId="348"/>
    <cellStyle name="Comma 2 2 3 5 2" xfId="1193"/>
    <cellStyle name="Comma 2 2 3 5 2 2" xfId="2863"/>
    <cellStyle name="Comma 2 2 3 5 3" xfId="3696"/>
    <cellStyle name="Comma 2 2 3 5 4" xfId="2026"/>
    <cellStyle name="Comma 2 2 3 6" xfId="432"/>
    <cellStyle name="Comma 2 2 3 6 2" xfId="1275"/>
    <cellStyle name="Comma 2 2 3 6 2 2" xfId="2945"/>
    <cellStyle name="Comma 2 2 3 6 3" xfId="2108"/>
    <cellStyle name="Comma 2 2 3 7" xfId="668"/>
    <cellStyle name="Comma 2 2 3 7 2" xfId="1509"/>
    <cellStyle name="Comma 2 2 3 7 2 2" xfId="3179"/>
    <cellStyle name="Comma 2 2 3 7 3" xfId="2342"/>
    <cellStyle name="Comma 2 2 3 8" xfId="907"/>
    <cellStyle name="Comma 2 2 3 8 2" xfId="2577"/>
    <cellStyle name="Comma 2 2 3 9" xfId="3410"/>
    <cellStyle name="Comma 2 2 4" xfId="39"/>
    <cellStyle name="Comma 2 2 4 10" xfId="1751"/>
    <cellStyle name="Comma 2 2 4 2" xfId="111"/>
    <cellStyle name="Comma 2 2 4 2 2" xfId="197"/>
    <cellStyle name="Comma 2 2 4 2 2 2" xfId="610"/>
    <cellStyle name="Comma 2 2 4 2 2 2 2" xfId="1451"/>
    <cellStyle name="Comma 2 2 4 2 2 2 2 2" xfId="3121"/>
    <cellStyle name="Comma 2 2 4 2 2 2 3" xfId="2284"/>
    <cellStyle name="Comma 2 2 4 2 2 3" xfId="844"/>
    <cellStyle name="Comma 2 2 4 2 2 3 2" xfId="1685"/>
    <cellStyle name="Comma 2 2 4 2 2 3 2 2" xfId="3355"/>
    <cellStyle name="Comma 2 2 4 2 2 3 3" xfId="2518"/>
    <cellStyle name="Comma 2 2 4 2 2 4" xfId="1044"/>
    <cellStyle name="Comma 2 2 4 2 2 4 2" xfId="2714"/>
    <cellStyle name="Comma 2 2 4 2 2 5" xfId="3547"/>
    <cellStyle name="Comma 2 2 4 2 2 6" xfId="1877"/>
    <cellStyle name="Comma 2 2 4 2 3" xfId="289"/>
    <cellStyle name="Comma 2 2 4 2 3 2" xfId="1136"/>
    <cellStyle name="Comma 2 2 4 2 3 2 2" xfId="2806"/>
    <cellStyle name="Comma 2 2 4 2 3 3" xfId="3639"/>
    <cellStyle name="Comma 2 2 4 2 3 4" xfId="1969"/>
    <cellStyle name="Comma 2 2 4 2 4" xfId="383"/>
    <cellStyle name="Comma 2 2 4 2 4 2" xfId="1228"/>
    <cellStyle name="Comma 2 2 4 2 4 2 2" xfId="2898"/>
    <cellStyle name="Comma 2 2 4 2 4 3" xfId="3731"/>
    <cellStyle name="Comma 2 2 4 2 4 4" xfId="2061"/>
    <cellStyle name="Comma 2 2 4 2 5" xfId="499"/>
    <cellStyle name="Comma 2 2 4 2 5 2" xfId="1341"/>
    <cellStyle name="Comma 2 2 4 2 5 2 2" xfId="3011"/>
    <cellStyle name="Comma 2 2 4 2 5 3" xfId="2174"/>
    <cellStyle name="Comma 2 2 4 2 6" xfId="734"/>
    <cellStyle name="Comma 2 2 4 2 6 2" xfId="1575"/>
    <cellStyle name="Comma 2 2 4 2 6 2 2" xfId="3245"/>
    <cellStyle name="Comma 2 2 4 2 6 3" xfId="2408"/>
    <cellStyle name="Comma 2 2 4 2 7" xfId="958"/>
    <cellStyle name="Comma 2 2 4 2 7 2" xfId="2628"/>
    <cellStyle name="Comma 2 2 4 2 8" xfId="3461"/>
    <cellStyle name="Comma 2 2 4 2 9" xfId="1791"/>
    <cellStyle name="Comma 2 2 4 3" xfId="163"/>
    <cellStyle name="Comma 2 2 4 3 2" xfId="558"/>
    <cellStyle name="Comma 2 2 4 3 2 2" xfId="1399"/>
    <cellStyle name="Comma 2 2 4 3 2 2 2" xfId="3069"/>
    <cellStyle name="Comma 2 2 4 3 2 3" xfId="2232"/>
    <cellStyle name="Comma 2 2 4 3 3" xfId="792"/>
    <cellStyle name="Comma 2 2 4 3 3 2" xfId="1633"/>
    <cellStyle name="Comma 2 2 4 3 3 2 2" xfId="3303"/>
    <cellStyle name="Comma 2 2 4 3 3 3" xfId="2466"/>
    <cellStyle name="Comma 2 2 4 3 4" xfId="1010"/>
    <cellStyle name="Comma 2 2 4 3 4 2" xfId="2680"/>
    <cellStyle name="Comma 2 2 4 3 5" xfId="3513"/>
    <cellStyle name="Comma 2 2 4 3 6" xfId="1843"/>
    <cellStyle name="Comma 2 2 4 4" xfId="255"/>
    <cellStyle name="Comma 2 2 4 4 2" xfId="1102"/>
    <cellStyle name="Comma 2 2 4 4 2 2" xfId="2772"/>
    <cellStyle name="Comma 2 2 4 4 3" xfId="3605"/>
    <cellStyle name="Comma 2 2 4 4 4" xfId="1935"/>
    <cellStyle name="Comma 2 2 4 5" xfId="349"/>
    <cellStyle name="Comma 2 2 4 5 2" xfId="1194"/>
    <cellStyle name="Comma 2 2 4 5 2 2" xfId="2864"/>
    <cellStyle name="Comma 2 2 4 5 3" xfId="3697"/>
    <cellStyle name="Comma 2 2 4 5 4" xfId="2027"/>
    <cellStyle name="Comma 2 2 4 6" xfId="446"/>
    <cellStyle name="Comma 2 2 4 6 2" xfId="1289"/>
    <cellStyle name="Comma 2 2 4 6 2 2" xfId="2959"/>
    <cellStyle name="Comma 2 2 4 6 3" xfId="2122"/>
    <cellStyle name="Comma 2 2 4 7" xfId="682"/>
    <cellStyle name="Comma 2 2 4 7 2" xfId="1523"/>
    <cellStyle name="Comma 2 2 4 7 2 2" xfId="3193"/>
    <cellStyle name="Comma 2 2 4 7 3" xfId="2356"/>
    <cellStyle name="Comma 2 2 4 8" xfId="918"/>
    <cellStyle name="Comma 2 2 4 8 2" xfId="2588"/>
    <cellStyle name="Comma 2 2 4 9" xfId="3421"/>
    <cellStyle name="Comma 2 2 5" xfId="107"/>
    <cellStyle name="Comma 2 2 5 2" xfId="198"/>
    <cellStyle name="Comma 2 2 5 2 2" xfId="625"/>
    <cellStyle name="Comma 2 2 5 2 2 2" xfId="859"/>
    <cellStyle name="Comma 2 2 5 2 2 2 2" xfId="1700"/>
    <cellStyle name="Comma 2 2 5 2 2 2 2 2" xfId="3370"/>
    <cellStyle name="Comma 2 2 5 2 2 2 3" xfId="2533"/>
    <cellStyle name="Comma 2 2 5 2 2 3" xfId="1466"/>
    <cellStyle name="Comma 2 2 5 2 2 3 2" xfId="3136"/>
    <cellStyle name="Comma 2 2 5 2 2 4" xfId="2299"/>
    <cellStyle name="Comma 2 2 5 2 3" xfId="514"/>
    <cellStyle name="Comma 2 2 5 2 3 2" xfId="1356"/>
    <cellStyle name="Comma 2 2 5 2 3 2 2" xfId="3026"/>
    <cellStyle name="Comma 2 2 5 2 3 3" xfId="2189"/>
    <cellStyle name="Comma 2 2 5 2 4" xfId="749"/>
    <cellStyle name="Comma 2 2 5 2 4 2" xfId="1590"/>
    <cellStyle name="Comma 2 2 5 2 4 2 2" xfId="3260"/>
    <cellStyle name="Comma 2 2 5 2 4 3" xfId="2423"/>
    <cellStyle name="Comma 2 2 5 2 5" xfId="1045"/>
    <cellStyle name="Comma 2 2 5 2 5 2" xfId="2715"/>
    <cellStyle name="Comma 2 2 5 2 6" xfId="3548"/>
    <cellStyle name="Comma 2 2 5 2 7" xfId="1878"/>
    <cellStyle name="Comma 2 2 5 3" xfId="290"/>
    <cellStyle name="Comma 2 2 5 3 2" xfId="573"/>
    <cellStyle name="Comma 2 2 5 3 2 2" xfId="1414"/>
    <cellStyle name="Comma 2 2 5 3 2 2 2" xfId="3084"/>
    <cellStyle name="Comma 2 2 5 3 2 3" xfId="2247"/>
    <cellStyle name="Comma 2 2 5 3 3" xfId="807"/>
    <cellStyle name="Comma 2 2 5 3 3 2" xfId="1648"/>
    <cellStyle name="Comma 2 2 5 3 3 2 2" xfId="3318"/>
    <cellStyle name="Comma 2 2 5 3 3 3" xfId="2481"/>
    <cellStyle name="Comma 2 2 5 3 4" xfId="1137"/>
    <cellStyle name="Comma 2 2 5 3 4 2" xfId="2807"/>
    <cellStyle name="Comma 2 2 5 3 5" xfId="3640"/>
    <cellStyle name="Comma 2 2 5 3 6" xfId="1970"/>
    <cellStyle name="Comma 2 2 5 4" xfId="384"/>
    <cellStyle name="Comma 2 2 5 4 2" xfId="1229"/>
    <cellStyle name="Comma 2 2 5 4 2 2" xfId="2899"/>
    <cellStyle name="Comma 2 2 5 4 3" xfId="3732"/>
    <cellStyle name="Comma 2 2 5 4 4" xfId="2062"/>
    <cellStyle name="Comma 2 2 5 5" xfId="462"/>
    <cellStyle name="Comma 2 2 5 5 2" xfId="1304"/>
    <cellStyle name="Comma 2 2 5 5 2 2" xfId="2974"/>
    <cellStyle name="Comma 2 2 5 5 3" xfId="2137"/>
    <cellStyle name="Comma 2 2 5 6" xfId="697"/>
    <cellStyle name="Comma 2 2 5 6 2" xfId="1538"/>
    <cellStyle name="Comma 2 2 5 6 2 2" xfId="3208"/>
    <cellStyle name="Comma 2 2 5 6 3" xfId="2371"/>
    <cellStyle name="Comma 2 2 5 7" xfId="954"/>
    <cellStyle name="Comma 2 2 5 7 2" xfId="2624"/>
    <cellStyle name="Comma 2 2 5 8" xfId="3457"/>
    <cellStyle name="Comma 2 2 5 9" xfId="1787"/>
    <cellStyle name="Comma 2 2 6" xfId="159"/>
    <cellStyle name="Comma 2 2 6 2" xfId="591"/>
    <cellStyle name="Comma 2 2 6 2 2" xfId="825"/>
    <cellStyle name="Comma 2 2 6 2 2 2" xfId="1666"/>
    <cellStyle name="Comma 2 2 6 2 2 2 2" xfId="3336"/>
    <cellStyle name="Comma 2 2 6 2 2 3" xfId="2499"/>
    <cellStyle name="Comma 2 2 6 2 3" xfId="1432"/>
    <cellStyle name="Comma 2 2 6 2 3 2" xfId="3102"/>
    <cellStyle name="Comma 2 2 6 2 4" xfId="2265"/>
    <cellStyle name="Comma 2 2 6 3" xfId="480"/>
    <cellStyle name="Comma 2 2 6 3 2" xfId="1322"/>
    <cellStyle name="Comma 2 2 6 3 2 2" xfId="2992"/>
    <cellStyle name="Comma 2 2 6 3 3" xfId="2155"/>
    <cellStyle name="Comma 2 2 6 4" xfId="715"/>
    <cellStyle name="Comma 2 2 6 4 2" xfId="1556"/>
    <cellStyle name="Comma 2 2 6 4 2 2" xfId="3226"/>
    <cellStyle name="Comma 2 2 6 4 3" xfId="2389"/>
    <cellStyle name="Comma 2 2 6 5" xfId="1006"/>
    <cellStyle name="Comma 2 2 6 5 2" xfId="2676"/>
    <cellStyle name="Comma 2 2 6 6" xfId="3509"/>
    <cellStyle name="Comma 2 2 6 7" xfId="1839"/>
    <cellStyle name="Comma 2 2 7" xfId="251"/>
    <cellStyle name="Comma 2 2 7 2" xfId="539"/>
    <cellStyle name="Comma 2 2 7 2 2" xfId="773"/>
    <cellStyle name="Comma 2 2 7 2 2 2" xfId="1614"/>
    <cellStyle name="Comma 2 2 7 2 2 2 2" xfId="3284"/>
    <cellStyle name="Comma 2 2 7 2 2 3" xfId="2447"/>
    <cellStyle name="Comma 2 2 7 2 3" xfId="1380"/>
    <cellStyle name="Comma 2 2 7 2 3 2" xfId="3050"/>
    <cellStyle name="Comma 2 2 7 2 4" xfId="2213"/>
    <cellStyle name="Comma 2 2 7 3" xfId="427"/>
    <cellStyle name="Comma 2 2 7 3 2" xfId="1270"/>
    <cellStyle name="Comma 2 2 7 3 2 2" xfId="2940"/>
    <cellStyle name="Comma 2 2 7 3 3" xfId="2103"/>
    <cellStyle name="Comma 2 2 7 4" xfId="663"/>
    <cellStyle name="Comma 2 2 7 4 2" xfId="1504"/>
    <cellStyle name="Comma 2 2 7 4 2 2" xfId="3174"/>
    <cellStyle name="Comma 2 2 7 4 3" xfId="2337"/>
    <cellStyle name="Comma 2 2 7 5" xfId="1098"/>
    <cellStyle name="Comma 2 2 7 5 2" xfId="2768"/>
    <cellStyle name="Comma 2 2 7 6" xfId="3601"/>
    <cellStyle name="Comma 2 2 7 7" xfId="1931"/>
    <cellStyle name="Comma 2 2 8" xfId="345"/>
    <cellStyle name="Comma 2 2 8 2" xfId="536"/>
    <cellStyle name="Comma 2 2 8 2 2" xfId="1377"/>
    <cellStyle name="Comma 2 2 8 2 2 2" xfId="3047"/>
    <cellStyle name="Comma 2 2 8 2 3" xfId="2210"/>
    <cellStyle name="Comma 2 2 8 3" xfId="770"/>
    <cellStyle name="Comma 2 2 8 3 2" xfId="1611"/>
    <cellStyle name="Comma 2 2 8 3 2 2" xfId="3281"/>
    <cellStyle name="Comma 2 2 8 3 3" xfId="2444"/>
    <cellStyle name="Comma 2 2 8 4" xfId="1190"/>
    <cellStyle name="Comma 2 2 8 4 2" xfId="2860"/>
    <cellStyle name="Comma 2 2 8 5" xfId="3693"/>
    <cellStyle name="Comma 2 2 8 6" xfId="2023"/>
    <cellStyle name="Comma 2 2 9" xfId="422"/>
    <cellStyle name="Comma 2 2 9 2" xfId="1267"/>
    <cellStyle name="Comma 2 2 9 2 2" xfId="2937"/>
    <cellStyle name="Comma 2 2 9 3" xfId="2100"/>
    <cellStyle name="Comma 2 3" xfId="17"/>
    <cellStyle name="Comma 2 4" xfId="27"/>
    <cellStyle name="Comma 2 5" xfId="423"/>
    <cellStyle name="Comma 3" xfId="15"/>
    <cellStyle name="Comma 3 2" xfId="22"/>
    <cellStyle name="Comma 4" xfId="35"/>
    <cellStyle name="Comma 4 10" xfId="914"/>
    <cellStyle name="Comma 4 10 2" xfId="2584"/>
    <cellStyle name="Comma 4 11" xfId="3417"/>
    <cellStyle name="Comma 4 12" xfId="1747"/>
    <cellStyle name="Comma 4 2" xfId="46"/>
    <cellStyle name="Comma 4 2 10" xfId="1758"/>
    <cellStyle name="Comma 4 2 2" xfId="113"/>
    <cellStyle name="Comma 4 2 2 2" xfId="199"/>
    <cellStyle name="Comma 4 2 2 2 2" xfId="617"/>
    <cellStyle name="Comma 4 2 2 2 2 2" xfId="1458"/>
    <cellStyle name="Comma 4 2 2 2 2 2 2" xfId="3128"/>
    <cellStyle name="Comma 4 2 2 2 2 3" xfId="2291"/>
    <cellStyle name="Comma 4 2 2 2 3" xfId="851"/>
    <cellStyle name="Comma 4 2 2 2 3 2" xfId="1692"/>
    <cellStyle name="Comma 4 2 2 2 3 2 2" xfId="3362"/>
    <cellStyle name="Comma 4 2 2 2 3 3" xfId="2525"/>
    <cellStyle name="Comma 4 2 2 2 4" xfId="1046"/>
    <cellStyle name="Comma 4 2 2 2 4 2" xfId="2716"/>
    <cellStyle name="Comma 4 2 2 2 5" xfId="3549"/>
    <cellStyle name="Comma 4 2 2 2 6" xfId="1879"/>
    <cellStyle name="Comma 4 2 2 3" xfId="291"/>
    <cellStyle name="Comma 4 2 2 3 2" xfId="1138"/>
    <cellStyle name="Comma 4 2 2 3 2 2" xfId="2808"/>
    <cellStyle name="Comma 4 2 2 3 3" xfId="3641"/>
    <cellStyle name="Comma 4 2 2 3 4" xfId="1971"/>
    <cellStyle name="Comma 4 2 2 4" xfId="385"/>
    <cellStyle name="Comma 4 2 2 4 2" xfId="1230"/>
    <cellStyle name="Comma 4 2 2 4 2 2" xfId="2900"/>
    <cellStyle name="Comma 4 2 2 4 3" xfId="3733"/>
    <cellStyle name="Comma 4 2 2 4 4" xfId="2063"/>
    <cellStyle name="Comma 4 2 2 5" xfId="506"/>
    <cellStyle name="Comma 4 2 2 5 2" xfId="1348"/>
    <cellStyle name="Comma 4 2 2 5 2 2" xfId="3018"/>
    <cellStyle name="Comma 4 2 2 5 3" xfId="2181"/>
    <cellStyle name="Comma 4 2 2 6" xfId="741"/>
    <cellStyle name="Comma 4 2 2 6 2" xfId="1582"/>
    <cellStyle name="Comma 4 2 2 6 2 2" xfId="3252"/>
    <cellStyle name="Comma 4 2 2 6 3" xfId="2415"/>
    <cellStyle name="Comma 4 2 2 7" xfId="960"/>
    <cellStyle name="Comma 4 2 2 7 2" xfId="2630"/>
    <cellStyle name="Comma 4 2 2 8" xfId="3463"/>
    <cellStyle name="Comma 4 2 2 9" xfId="1793"/>
    <cellStyle name="Comma 4 2 3" xfId="165"/>
    <cellStyle name="Comma 4 2 3 2" xfId="565"/>
    <cellStyle name="Comma 4 2 3 2 2" xfId="1406"/>
    <cellStyle name="Comma 4 2 3 2 2 2" xfId="3076"/>
    <cellStyle name="Comma 4 2 3 2 3" xfId="2239"/>
    <cellStyle name="Comma 4 2 3 3" xfId="799"/>
    <cellStyle name="Comma 4 2 3 3 2" xfId="1640"/>
    <cellStyle name="Comma 4 2 3 3 2 2" xfId="3310"/>
    <cellStyle name="Comma 4 2 3 3 3" xfId="2473"/>
    <cellStyle name="Comma 4 2 3 4" xfId="1012"/>
    <cellStyle name="Comma 4 2 3 4 2" xfId="2682"/>
    <cellStyle name="Comma 4 2 3 5" xfId="3515"/>
    <cellStyle name="Comma 4 2 3 6" xfId="1845"/>
    <cellStyle name="Comma 4 2 4" xfId="257"/>
    <cellStyle name="Comma 4 2 4 2" xfId="1104"/>
    <cellStyle name="Comma 4 2 4 2 2" xfId="2774"/>
    <cellStyle name="Comma 4 2 4 3" xfId="3607"/>
    <cellStyle name="Comma 4 2 4 4" xfId="1937"/>
    <cellStyle name="Comma 4 2 5" xfId="351"/>
    <cellStyle name="Comma 4 2 5 2" xfId="1196"/>
    <cellStyle name="Comma 4 2 5 2 2" xfId="2866"/>
    <cellStyle name="Comma 4 2 5 3" xfId="3699"/>
    <cellStyle name="Comma 4 2 5 4" xfId="2029"/>
    <cellStyle name="Comma 4 2 6" xfId="453"/>
    <cellStyle name="Comma 4 2 6 2" xfId="1296"/>
    <cellStyle name="Comma 4 2 6 2 2" xfId="2966"/>
    <cellStyle name="Comma 4 2 6 3" xfId="2129"/>
    <cellStyle name="Comma 4 2 7" xfId="689"/>
    <cellStyle name="Comma 4 2 7 2" xfId="1530"/>
    <cellStyle name="Comma 4 2 7 2 2" xfId="3200"/>
    <cellStyle name="Comma 4 2 7 3" xfId="2363"/>
    <cellStyle name="Comma 4 2 8" xfId="925"/>
    <cellStyle name="Comma 4 2 8 2" xfId="2595"/>
    <cellStyle name="Comma 4 2 9" xfId="3428"/>
    <cellStyle name="Comma 4 3" xfId="112"/>
    <cellStyle name="Comma 4 3 2" xfId="200"/>
    <cellStyle name="Comma 4 3 2 2" xfId="637"/>
    <cellStyle name="Comma 4 3 2 2 2" xfId="871"/>
    <cellStyle name="Comma 4 3 2 2 2 2" xfId="1712"/>
    <cellStyle name="Comma 4 3 2 2 2 2 2" xfId="3382"/>
    <cellStyle name="Comma 4 3 2 2 2 3" xfId="2545"/>
    <cellStyle name="Comma 4 3 2 2 3" xfId="1478"/>
    <cellStyle name="Comma 4 3 2 2 3 2" xfId="3148"/>
    <cellStyle name="Comma 4 3 2 2 4" xfId="2311"/>
    <cellStyle name="Comma 4 3 2 3" xfId="526"/>
    <cellStyle name="Comma 4 3 2 3 2" xfId="1368"/>
    <cellStyle name="Comma 4 3 2 3 2 2" xfId="3038"/>
    <cellStyle name="Comma 4 3 2 3 3" xfId="2201"/>
    <cellStyle name="Comma 4 3 2 4" xfId="761"/>
    <cellStyle name="Comma 4 3 2 4 2" xfId="1602"/>
    <cellStyle name="Comma 4 3 2 4 2 2" xfId="3272"/>
    <cellStyle name="Comma 4 3 2 4 3" xfId="2435"/>
    <cellStyle name="Comma 4 3 2 5" xfId="1047"/>
    <cellStyle name="Comma 4 3 2 5 2" xfId="2717"/>
    <cellStyle name="Comma 4 3 2 6" xfId="3550"/>
    <cellStyle name="Comma 4 3 2 7" xfId="1880"/>
    <cellStyle name="Comma 4 3 3" xfId="292"/>
    <cellStyle name="Comma 4 3 3 2" xfId="585"/>
    <cellStyle name="Comma 4 3 3 2 2" xfId="1426"/>
    <cellStyle name="Comma 4 3 3 2 2 2" xfId="3096"/>
    <cellStyle name="Comma 4 3 3 2 3" xfId="2259"/>
    <cellStyle name="Comma 4 3 3 3" xfId="819"/>
    <cellStyle name="Comma 4 3 3 3 2" xfId="1660"/>
    <cellStyle name="Comma 4 3 3 3 2 2" xfId="3330"/>
    <cellStyle name="Comma 4 3 3 3 3" xfId="2493"/>
    <cellStyle name="Comma 4 3 3 4" xfId="1139"/>
    <cellStyle name="Comma 4 3 3 4 2" xfId="2809"/>
    <cellStyle name="Comma 4 3 3 5" xfId="3642"/>
    <cellStyle name="Comma 4 3 3 6" xfId="1972"/>
    <cellStyle name="Comma 4 3 4" xfId="386"/>
    <cellStyle name="Comma 4 3 4 2" xfId="1231"/>
    <cellStyle name="Comma 4 3 4 2 2" xfId="2901"/>
    <cellStyle name="Comma 4 3 4 3" xfId="3734"/>
    <cellStyle name="Comma 4 3 4 4" xfId="2064"/>
    <cellStyle name="Comma 4 3 5" xfId="474"/>
    <cellStyle name="Comma 4 3 5 2" xfId="1316"/>
    <cellStyle name="Comma 4 3 5 2 2" xfId="2986"/>
    <cellStyle name="Comma 4 3 5 3" xfId="2149"/>
    <cellStyle name="Comma 4 3 6" xfId="709"/>
    <cellStyle name="Comma 4 3 6 2" xfId="1550"/>
    <cellStyle name="Comma 4 3 6 2 2" xfId="3220"/>
    <cellStyle name="Comma 4 3 6 3" xfId="2383"/>
    <cellStyle name="Comma 4 3 7" xfId="959"/>
    <cellStyle name="Comma 4 3 7 2" xfId="2629"/>
    <cellStyle name="Comma 4 3 8" xfId="3462"/>
    <cellStyle name="Comma 4 3 9" xfId="1792"/>
    <cellStyle name="Comma 4 4" xfId="164"/>
    <cellStyle name="Comma 4 4 2" xfId="603"/>
    <cellStyle name="Comma 4 4 2 2" xfId="837"/>
    <cellStyle name="Comma 4 4 2 2 2" xfId="1678"/>
    <cellStyle name="Comma 4 4 2 2 2 2" xfId="3348"/>
    <cellStyle name="Comma 4 4 2 2 3" xfId="2511"/>
    <cellStyle name="Comma 4 4 2 3" xfId="1444"/>
    <cellStyle name="Comma 4 4 2 3 2" xfId="3114"/>
    <cellStyle name="Comma 4 4 2 4" xfId="2277"/>
    <cellStyle name="Comma 4 4 3" xfId="492"/>
    <cellStyle name="Comma 4 4 3 2" xfId="1334"/>
    <cellStyle name="Comma 4 4 3 2 2" xfId="3004"/>
    <cellStyle name="Comma 4 4 3 3" xfId="2167"/>
    <cellStyle name="Comma 4 4 4" xfId="727"/>
    <cellStyle name="Comma 4 4 4 2" xfId="1568"/>
    <cellStyle name="Comma 4 4 4 2 2" xfId="3238"/>
    <cellStyle name="Comma 4 4 4 3" xfId="2401"/>
    <cellStyle name="Comma 4 4 5" xfId="1011"/>
    <cellStyle name="Comma 4 4 5 2" xfId="2681"/>
    <cellStyle name="Comma 4 4 6" xfId="3514"/>
    <cellStyle name="Comma 4 4 7" xfId="1844"/>
    <cellStyle name="Comma 4 5" xfId="256"/>
    <cellStyle name="Comma 4 5 2" xfId="551"/>
    <cellStyle name="Comma 4 5 2 2" xfId="1392"/>
    <cellStyle name="Comma 4 5 2 2 2" xfId="3062"/>
    <cellStyle name="Comma 4 5 2 3" xfId="2225"/>
    <cellStyle name="Comma 4 5 3" xfId="785"/>
    <cellStyle name="Comma 4 5 3 2" xfId="1626"/>
    <cellStyle name="Comma 4 5 3 2 2" xfId="3296"/>
    <cellStyle name="Comma 4 5 3 3" xfId="2459"/>
    <cellStyle name="Comma 4 5 4" xfId="1103"/>
    <cellStyle name="Comma 4 5 4 2" xfId="2773"/>
    <cellStyle name="Comma 4 5 5" xfId="3606"/>
    <cellStyle name="Comma 4 5 6" xfId="1936"/>
    <cellStyle name="Comma 4 6" xfId="350"/>
    <cellStyle name="Comma 4 6 2" xfId="1195"/>
    <cellStyle name="Comma 4 6 2 2" xfId="2865"/>
    <cellStyle name="Comma 4 6 3" xfId="3698"/>
    <cellStyle name="Comma 4 6 4" xfId="2028"/>
    <cellStyle name="Comma 4 7" xfId="439"/>
    <cellStyle name="Comma 4 7 2" xfId="1282"/>
    <cellStyle name="Comma 4 7 2 2" xfId="2952"/>
    <cellStyle name="Comma 4 7 3" xfId="2115"/>
    <cellStyle name="Comma 4 8" xfId="675"/>
    <cellStyle name="Comma 4 8 2" xfId="1516"/>
    <cellStyle name="Comma 4 8 2 2" xfId="3186"/>
    <cellStyle name="Comma 4 8 3" xfId="2349"/>
    <cellStyle name="Comma 4 9" xfId="894"/>
    <cellStyle name="Comma 5" xfId="52"/>
    <cellStyle name="Comma 5 2" xfId="459"/>
    <cellStyle name="Comma 5 3" xfId="495"/>
    <cellStyle name="Comma 5 3 2" xfId="606"/>
    <cellStyle name="Comma 5 3 2 2" xfId="840"/>
    <cellStyle name="Comma 5 3 2 2 2" xfId="1681"/>
    <cellStyle name="Comma 5 3 2 2 2 2" xfId="3351"/>
    <cellStyle name="Comma 5 3 2 2 3" xfId="2514"/>
    <cellStyle name="Comma 5 3 2 3" xfId="1447"/>
    <cellStyle name="Comma 5 3 2 3 2" xfId="3117"/>
    <cellStyle name="Comma 5 3 2 4" xfId="2280"/>
    <cellStyle name="Comma 5 3 3" xfId="730"/>
    <cellStyle name="Comma 5 3 3 2" xfId="1571"/>
    <cellStyle name="Comma 5 3 3 2 2" xfId="3241"/>
    <cellStyle name="Comma 5 3 3 3" xfId="2404"/>
    <cellStyle name="Comma 5 3 4" xfId="1337"/>
    <cellStyle name="Comma 5 3 4 2" xfId="3007"/>
    <cellStyle name="Comma 5 3 5" xfId="2170"/>
    <cellStyle name="Comma 5 4" xfId="554"/>
    <cellStyle name="Comma 5 4 2" xfId="788"/>
    <cellStyle name="Comma 5 4 2 2" xfId="1629"/>
    <cellStyle name="Comma 5 4 2 2 2" xfId="3299"/>
    <cellStyle name="Comma 5 4 2 3" xfId="2462"/>
    <cellStyle name="Comma 5 4 3" xfId="1395"/>
    <cellStyle name="Comma 5 4 3 2" xfId="3065"/>
    <cellStyle name="Comma 5 4 4" xfId="2228"/>
    <cellStyle name="Comma 5 5" xfId="442"/>
    <cellStyle name="Comma 5 5 2" xfId="1285"/>
    <cellStyle name="Comma 5 5 2 2" xfId="2955"/>
    <cellStyle name="Comma 5 5 3" xfId="2118"/>
    <cellStyle name="Comma 5 6" xfId="678"/>
    <cellStyle name="Comma 5 6 2" xfId="1519"/>
    <cellStyle name="Comma 5 6 2 2" xfId="3189"/>
    <cellStyle name="Comma 5 6 3" xfId="2352"/>
    <cellStyle name="Comma 6" xfId="55"/>
    <cellStyle name="Comma 6 10" xfId="1765"/>
    <cellStyle name="Comma 6 2" xfId="114"/>
    <cellStyle name="Comma 6 2 2" xfId="201"/>
    <cellStyle name="Comma 6 2 2 2" xfId="640"/>
    <cellStyle name="Comma 6 2 2 2 2" xfId="1481"/>
    <cellStyle name="Comma 6 2 2 2 2 2" xfId="3151"/>
    <cellStyle name="Comma 6 2 2 2 3" xfId="2314"/>
    <cellStyle name="Comma 6 2 2 3" xfId="874"/>
    <cellStyle name="Comma 6 2 2 3 2" xfId="1715"/>
    <cellStyle name="Comma 6 2 2 3 2 2" xfId="3385"/>
    <cellStyle name="Comma 6 2 2 3 3" xfId="2548"/>
    <cellStyle name="Comma 6 2 2 4" xfId="1048"/>
    <cellStyle name="Comma 6 2 2 4 2" xfId="2718"/>
    <cellStyle name="Comma 6 2 2 5" xfId="3551"/>
    <cellStyle name="Comma 6 2 2 6" xfId="1881"/>
    <cellStyle name="Comma 6 2 3" xfId="293"/>
    <cellStyle name="Comma 6 2 3 2" xfId="1140"/>
    <cellStyle name="Comma 6 2 3 2 2" xfId="2810"/>
    <cellStyle name="Comma 6 2 3 3" xfId="3643"/>
    <cellStyle name="Comma 6 2 3 4" xfId="1973"/>
    <cellStyle name="Comma 6 2 4" xfId="387"/>
    <cellStyle name="Comma 6 2 4 2" xfId="1232"/>
    <cellStyle name="Comma 6 2 4 2 2" xfId="2902"/>
    <cellStyle name="Comma 6 2 4 3" xfId="3735"/>
    <cellStyle name="Comma 6 2 4 4" xfId="2065"/>
    <cellStyle name="Comma 6 2 5" xfId="529"/>
    <cellStyle name="Comma 6 2 5 2" xfId="1371"/>
    <cellStyle name="Comma 6 2 5 2 2" xfId="3041"/>
    <cellStyle name="Comma 6 2 5 3" xfId="2204"/>
    <cellStyle name="Comma 6 2 6" xfId="764"/>
    <cellStyle name="Comma 6 2 6 2" xfId="1605"/>
    <cellStyle name="Comma 6 2 6 2 2" xfId="3275"/>
    <cellStyle name="Comma 6 2 6 3" xfId="2438"/>
    <cellStyle name="Comma 6 2 7" xfId="961"/>
    <cellStyle name="Comma 6 2 7 2" xfId="2631"/>
    <cellStyle name="Comma 6 2 8" xfId="3464"/>
    <cellStyle name="Comma 6 2 9" xfId="1794"/>
    <cellStyle name="Comma 6 3" xfId="166"/>
    <cellStyle name="Comma 6 3 2" xfId="588"/>
    <cellStyle name="Comma 6 3 2 2" xfId="1429"/>
    <cellStyle name="Comma 6 3 2 2 2" xfId="3099"/>
    <cellStyle name="Comma 6 3 2 3" xfId="2262"/>
    <cellStyle name="Comma 6 3 3" xfId="822"/>
    <cellStyle name="Comma 6 3 3 2" xfId="1663"/>
    <cellStyle name="Comma 6 3 3 2 2" xfId="3333"/>
    <cellStyle name="Comma 6 3 3 3" xfId="2496"/>
    <cellStyle name="Comma 6 3 4" xfId="1013"/>
    <cellStyle name="Comma 6 3 4 2" xfId="2683"/>
    <cellStyle name="Comma 6 3 5" xfId="3516"/>
    <cellStyle name="Comma 6 3 6" xfId="1846"/>
    <cellStyle name="Comma 6 4" xfId="258"/>
    <cellStyle name="Comma 6 4 2" xfId="1105"/>
    <cellStyle name="Comma 6 4 2 2" xfId="2775"/>
    <cellStyle name="Comma 6 4 3" xfId="3608"/>
    <cellStyle name="Comma 6 4 4" xfId="1938"/>
    <cellStyle name="Comma 6 5" xfId="352"/>
    <cellStyle name="Comma 6 5 2" xfId="1197"/>
    <cellStyle name="Comma 6 5 2 2" xfId="2867"/>
    <cellStyle name="Comma 6 5 3" xfId="3700"/>
    <cellStyle name="Comma 6 5 4" xfId="2030"/>
    <cellStyle name="Comma 6 6" xfId="477"/>
    <cellStyle name="Comma 6 6 2" xfId="1319"/>
    <cellStyle name="Comma 6 6 2 2" xfId="2989"/>
    <cellStyle name="Comma 6 6 3" xfId="2152"/>
    <cellStyle name="Comma 6 7" xfId="712"/>
    <cellStyle name="Comma 6 7 2" xfId="1553"/>
    <cellStyle name="Comma 6 7 2 2" xfId="3223"/>
    <cellStyle name="Comma 6 7 3" xfId="2386"/>
    <cellStyle name="Comma 6 8" xfId="932"/>
    <cellStyle name="Comma 6 8 2" xfId="2602"/>
    <cellStyle name="Comma 6 9" xfId="3435"/>
    <cellStyle name="Comma 7" xfId="60"/>
    <cellStyle name="Comma 7 10" xfId="1769"/>
    <cellStyle name="Comma 7 2" xfId="115"/>
    <cellStyle name="Comma 7 2 2" xfId="202"/>
    <cellStyle name="Comma 7 2 2 2" xfId="1049"/>
    <cellStyle name="Comma 7 2 2 2 2" xfId="2719"/>
    <cellStyle name="Comma 7 2 2 3" xfId="3552"/>
    <cellStyle name="Comma 7 2 2 4" xfId="1882"/>
    <cellStyle name="Comma 7 2 3" xfId="294"/>
    <cellStyle name="Comma 7 2 3 2" xfId="1141"/>
    <cellStyle name="Comma 7 2 3 2 2" xfId="2811"/>
    <cellStyle name="Comma 7 2 3 3" xfId="3644"/>
    <cellStyle name="Comma 7 2 3 4" xfId="1974"/>
    <cellStyle name="Comma 7 2 4" xfId="388"/>
    <cellStyle name="Comma 7 2 4 2" xfId="1233"/>
    <cellStyle name="Comma 7 2 4 2 2" xfId="2903"/>
    <cellStyle name="Comma 7 2 4 3" xfId="3736"/>
    <cellStyle name="Comma 7 2 4 4" xfId="2066"/>
    <cellStyle name="Comma 7 2 5" xfId="642"/>
    <cellStyle name="Comma 7 2 5 2" xfId="1483"/>
    <cellStyle name="Comma 7 2 5 2 2" xfId="3153"/>
    <cellStyle name="Comma 7 2 5 3" xfId="2316"/>
    <cellStyle name="Comma 7 2 6" xfId="876"/>
    <cellStyle name="Comma 7 2 6 2" xfId="1717"/>
    <cellStyle name="Comma 7 2 6 2 2" xfId="3387"/>
    <cellStyle name="Comma 7 2 6 3" xfId="2550"/>
    <cellStyle name="Comma 7 2 7" xfId="962"/>
    <cellStyle name="Comma 7 2 7 2" xfId="2632"/>
    <cellStyle name="Comma 7 2 8" xfId="3465"/>
    <cellStyle name="Comma 7 2 9" xfId="1795"/>
    <cellStyle name="Comma 7 3" xfId="167"/>
    <cellStyle name="Comma 7 3 2" xfId="1014"/>
    <cellStyle name="Comma 7 3 2 2" xfId="2684"/>
    <cellStyle name="Comma 7 3 3" xfId="3517"/>
    <cellStyle name="Comma 7 3 4" xfId="1847"/>
    <cellStyle name="Comma 7 4" xfId="259"/>
    <cellStyle name="Comma 7 4 2" xfId="1106"/>
    <cellStyle name="Comma 7 4 2 2" xfId="2776"/>
    <cellStyle name="Comma 7 4 3" xfId="3609"/>
    <cellStyle name="Comma 7 4 4" xfId="1939"/>
    <cellStyle name="Comma 7 5" xfId="353"/>
    <cellStyle name="Comma 7 5 2" xfId="1198"/>
    <cellStyle name="Comma 7 5 2 2" xfId="2868"/>
    <cellStyle name="Comma 7 5 3" xfId="3701"/>
    <cellStyle name="Comma 7 5 4" xfId="2031"/>
    <cellStyle name="Comma 7 6" xfId="531"/>
    <cellStyle name="Comma 7 6 2" xfId="1373"/>
    <cellStyle name="Comma 7 6 2 2" xfId="3043"/>
    <cellStyle name="Comma 7 6 3" xfId="2206"/>
    <cellStyle name="Comma 7 7" xfId="766"/>
    <cellStyle name="Comma 7 7 2" xfId="1607"/>
    <cellStyle name="Comma 7 7 2 2" xfId="3277"/>
    <cellStyle name="Comma 7 7 3" xfId="2440"/>
    <cellStyle name="Comma 7 8" xfId="936"/>
    <cellStyle name="Comma 7 8 2" xfId="2606"/>
    <cellStyle name="Comma 7 9" xfId="3439"/>
    <cellStyle name="Comma 8" xfId="102"/>
    <cellStyle name="Comma 8 2" xfId="203"/>
    <cellStyle name="Comma 8 2 2" xfId="1050"/>
    <cellStyle name="Comma 8 2 2 2" xfId="2720"/>
    <cellStyle name="Comma 8 2 3" xfId="3553"/>
    <cellStyle name="Comma 8 2 4" xfId="1883"/>
    <cellStyle name="Comma 8 3" xfId="295"/>
    <cellStyle name="Comma 8 3 2" xfId="1142"/>
    <cellStyle name="Comma 8 3 2 2" xfId="2812"/>
    <cellStyle name="Comma 8 3 3" xfId="3645"/>
    <cellStyle name="Comma 8 3 4" xfId="1975"/>
    <cellStyle name="Comma 8 4" xfId="389"/>
    <cellStyle name="Comma 8 4 2" xfId="1234"/>
    <cellStyle name="Comma 8 4 2 2" xfId="2904"/>
    <cellStyle name="Comma 8 4 3" xfId="3737"/>
    <cellStyle name="Comma 8 4 4" xfId="2067"/>
    <cellStyle name="Comma 8 5" xfId="950"/>
    <cellStyle name="Comma 8 5 2" xfId="2620"/>
    <cellStyle name="Comma 8 6" xfId="3453"/>
    <cellStyle name="Comma 8 7" xfId="1783"/>
    <cellStyle name="Comma 9" xfId="143"/>
    <cellStyle name="Comma 9 2" xfId="990"/>
    <cellStyle name="Comma 9 2 2" xfId="2660"/>
    <cellStyle name="Comma 9 3" xfId="3493"/>
    <cellStyle name="Comma 9 4" xfId="1823"/>
    <cellStyle name="Currency" xfId="3" builtinId="4"/>
    <cellStyle name="Currency 2" xfId="4"/>
    <cellStyle name="Currency 2 2" xfId="8"/>
    <cellStyle name="Currency 3" xfId="16"/>
    <cellStyle name="Currency 3 2" xfId="23"/>
    <cellStyle name="Currency 4" xfId="36"/>
    <cellStyle name="Currency 4 10" xfId="915"/>
    <cellStyle name="Currency 4 10 2" xfId="2585"/>
    <cellStyle name="Currency 4 11" xfId="3418"/>
    <cellStyle name="Currency 4 12" xfId="1748"/>
    <cellStyle name="Currency 4 2" xfId="47"/>
    <cellStyle name="Currency 4 2 10" xfId="1759"/>
    <cellStyle name="Currency 4 2 2" xfId="117"/>
    <cellStyle name="Currency 4 2 2 2" xfId="204"/>
    <cellStyle name="Currency 4 2 2 2 2" xfId="618"/>
    <cellStyle name="Currency 4 2 2 2 2 2" xfId="1459"/>
    <cellStyle name="Currency 4 2 2 2 2 2 2" xfId="3129"/>
    <cellStyle name="Currency 4 2 2 2 2 3" xfId="2292"/>
    <cellStyle name="Currency 4 2 2 2 3" xfId="852"/>
    <cellStyle name="Currency 4 2 2 2 3 2" xfId="1693"/>
    <cellStyle name="Currency 4 2 2 2 3 2 2" xfId="3363"/>
    <cellStyle name="Currency 4 2 2 2 3 3" xfId="2526"/>
    <cellStyle name="Currency 4 2 2 2 4" xfId="1051"/>
    <cellStyle name="Currency 4 2 2 2 4 2" xfId="2721"/>
    <cellStyle name="Currency 4 2 2 2 5" xfId="3554"/>
    <cellStyle name="Currency 4 2 2 2 6" xfId="1884"/>
    <cellStyle name="Currency 4 2 2 3" xfId="296"/>
    <cellStyle name="Currency 4 2 2 3 2" xfId="1143"/>
    <cellStyle name="Currency 4 2 2 3 2 2" xfId="2813"/>
    <cellStyle name="Currency 4 2 2 3 3" xfId="3646"/>
    <cellStyle name="Currency 4 2 2 3 4" xfId="1976"/>
    <cellStyle name="Currency 4 2 2 4" xfId="390"/>
    <cellStyle name="Currency 4 2 2 4 2" xfId="1235"/>
    <cellStyle name="Currency 4 2 2 4 2 2" xfId="2905"/>
    <cellStyle name="Currency 4 2 2 4 3" xfId="3738"/>
    <cellStyle name="Currency 4 2 2 4 4" xfId="2068"/>
    <cellStyle name="Currency 4 2 2 5" xfId="507"/>
    <cellStyle name="Currency 4 2 2 5 2" xfId="1349"/>
    <cellStyle name="Currency 4 2 2 5 2 2" xfId="3019"/>
    <cellStyle name="Currency 4 2 2 5 3" xfId="2182"/>
    <cellStyle name="Currency 4 2 2 6" xfId="742"/>
    <cellStyle name="Currency 4 2 2 6 2" xfId="1583"/>
    <cellStyle name="Currency 4 2 2 6 2 2" xfId="3253"/>
    <cellStyle name="Currency 4 2 2 6 3" xfId="2416"/>
    <cellStyle name="Currency 4 2 2 7" xfId="964"/>
    <cellStyle name="Currency 4 2 2 7 2" xfId="2634"/>
    <cellStyle name="Currency 4 2 2 8" xfId="3467"/>
    <cellStyle name="Currency 4 2 2 9" xfId="1797"/>
    <cellStyle name="Currency 4 2 3" xfId="169"/>
    <cellStyle name="Currency 4 2 3 2" xfId="566"/>
    <cellStyle name="Currency 4 2 3 2 2" xfId="1407"/>
    <cellStyle name="Currency 4 2 3 2 2 2" xfId="3077"/>
    <cellStyle name="Currency 4 2 3 2 3" xfId="2240"/>
    <cellStyle name="Currency 4 2 3 3" xfId="800"/>
    <cellStyle name="Currency 4 2 3 3 2" xfId="1641"/>
    <cellStyle name="Currency 4 2 3 3 2 2" xfId="3311"/>
    <cellStyle name="Currency 4 2 3 3 3" xfId="2474"/>
    <cellStyle name="Currency 4 2 3 4" xfId="1016"/>
    <cellStyle name="Currency 4 2 3 4 2" xfId="2686"/>
    <cellStyle name="Currency 4 2 3 5" xfId="3519"/>
    <cellStyle name="Currency 4 2 3 6" xfId="1849"/>
    <cellStyle name="Currency 4 2 4" xfId="261"/>
    <cellStyle name="Currency 4 2 4 2" xfId="1108"/>
    <cellStyle name="Currency 4 2 4 2 2" xfId="2778"/>
    <cellStyle name="Currency 4 2 4 3" xfId="3611"/>
    <cellStyle name="Currency 4 2 4 4" xfId="1941"/>
    <cellStyle name="Currency 4 2 5" xfId="355"/>
    <cellStyle name="Currency 4 2 5 2" xfId="1200"/>
    <cellStyle name="Currency 4 2 5 2 2" xfId="2870"/>
    <cellStyle name="Currency 4 2 5 3" xfId="3703"/>
    <cellStyle name="Currency 4 2 5 4" xfId="2033"/>
    <cellStyle name="Currency 4 2 6" xfId="454"/>
    <cellStyle name="Currency 4 2 6 2" xfId="1297"/>
    <cellStyle name="Currency 4 2 6 2 2" xfId="2967"/>
    <cellStyle name="Currency 4 2 6 3" xfId="2130"/>
    <cellStyle name="Currency 4 2 7" xfId="690"/>
    <cellStyle name="Currency 4 2 7 2" xfId="1531"/>
    <cellStyle name="Currency 4 2 7 2 2" xfId="3201"/>
    <cellStyle name="Currency 4 2 7 3" xfId="2364"/>
    <cellStyle name="Currency 4 2 8" xfId="926"/>
    <cellStyle name="Currency 4 2 8 2" xfId="2596"/>
    <cellStyle name="Currency 4 2 9" xfId="3429"/>
    <cellStyle name="Currency 4 3" xfId="116"/>
    <cellStyle name="Currency 4 3 2" xfId="205"/>
    <cellStyle name="Currency 4 3 2 2" xfId="638"/>
    <cellStyle name="Currency 4 3 2 2 2" xfId="872"/>
    <cellStyle name="Currency 4 3 2 2 2 2" xfId="1713"/>
    <cellStyle name="Currency 4 3 2 2 2 2 2" xfId="3383"/>
    <cellStyle name="Currency 4 3 2 2 2 3" xfId="2546"/>
    <cellStyle name="Currency 4 3 2 2 3" xfId="1479"/>
    <cellStyle name="Currency 4 3 2 2 3 2" xfId="3149"/>
    <cellStyle name="Currency 4 3 2 2 4" xfId="2312"/>
    <cellStyle name="Currency 4 3 2 3" xfId="527"/>
    <cellStyle name="Currency 4 3 2 3 2" xfId="1369"/>
    <cellStyle name="Currency 4 3 2 3 2 2" xfId="3039"/>
    <cellStyle name="Currency 4 3 2 3 3" xfId="2202"/>
    <cellStyle name="Currency 4 3 2 4" xfId="762"/>
    <cellStyle name="Currency 4 3 2 4 2" xfId="1603"/>
    <cellStyle name="Currency 4 3 2 4 2 2" xfId="3273"/>
    <cellStyle name="Currency 4 3 2 4 3" xfId="2436"/>
    <cellStyle name="Currency 4 3 2 5" xfId="1052"/>
    <cellStyle name="Currency 4 3 2 5 2" xfId="2722"/>
    <cellStyle name="Currency 4 3 2 6" xfId="3555"/>
    <cellStyle name="Currency 4 3 2 7" xfId="1885"/>
    <cellStyle name="Currency 4 3 3" xfId="297"/>
    <cellStyle name="Currency 4 3 3 2" xfId="586"/>
    <cellStyle name="Currency 4 3 3 2 2" xfId="1427"/>
    <cellStyle name="Currency 4 3 3 2 2 2" xfId="3097"/>
    <cellStyle name="Currency 4 3 3 2 3" xfId="2260"/>
    <cellStyle name="Currency 4 3 3 3" xfId="820"/>
    <cellStyle name="Currency 4 3 3 3 2" xfId="1661"/>
    <cellStyle name="Currency 4 3 3 3 2 2" xfId="3331"/>
    <cellStyle name="Currency 4 3 3 3 3" xfId="2494"/>
    <cellStyle name="Currency 4 3 3 4" xfId="1144"/>
    <cellStyle name="Currency 4 3 3 4 2" xfId="2814"/>
    <cellStyle name="Currency 4 3 3 5" xfId="3647"/>
    <cellStyle name="Currency 4 3 3 6" xfId="1977"/>
    <cellStyle name="Currency 4 3 4" xfId="391"/>
    <cellStyle name="Currency 4 3 4 2" xfId="1236"/>
    <cellStyle name="Currency 4 3 4 2 2" xfId="2906"/>
    <cellStyle name="Currency 4 3 4 3" xfId="3739"/>
    <cellStyle name="Currency 4 3 4 4" xfId="2069"/>
    <cellStyle name="Currency 4 3 5" xfId="475"/>
    <cellStyle name="Currency 4 3 5 2" xfId="1317"/>
    <cellStyle name="Currency 4 3 5 2 2" xfId="2987"/>
    <cellStyle name="Currency 4 3 5 3" xfId="2150"/>
    <cellStyle name="Currency 4 3 6" xfId="710"/>
    <cellStyle name="Currency 4 3 6 2" xfId="1551"/>
    <cellStyle name="Currency 4 3 6 2 2" xfId="3221"/>
    <cellStyle name="Currency 4 3 6 3" xfId="2384"/>
    <cellStyle name="Currency 4 3 7" xfId="963"/>
    <cellStyle name="Currency 4 3 7 2" xfId="2633"/>
    <cellStyle name="Currency 4 3 8" xfId="3466"/>
    <cellStyle name="Currency 4 3 9" xfId="1796"/>
    <cellStyle name="Currency 4 4" xfId="168"/>
    <cellStyle name="Currency 4 4 2" xfId="604"/>
    <cellStyle name="Currency 4 4 2 2" xfId="838"/>
    <cellStyle name="Currency 4 4 2 2 2" xfId="1679"/>
    <cellStyle name="Currency 4 4 2 2 2 2" xfId="3349"/>
    <cellStyle name="Currency 4 4 2 2 3" xfId="2512"/>
    <cellStyle name="Currency 4 4 2 3" xfId="1445"/>
    <cellStyle name="Currency 4 4 2 3 2" xfId="3115"/>
    <cellStyle name="Currency 4 4 2 4" xfId="2278"/>
    <cellStyle name="Currency 4 4 3" xfId="493"/>
    <cellStyle name="Currency 4 4 3 2" xfId="1335"/>
    <cellStyle name="Currency 4 4 3 2 2" xfId="3005"/>
    <cellStyle name="Currency 4 4 3 3" xfId="2168"/>
    <cellStyle name="Currency 4 4 4" xfId="728"/>
    <cellStyle name="Currency 4 4 4 2" xfId="1569"/>
    <cellStyle name="Currency 4 4 4 2 2" xfId="3239"/>
    <cellStyle name="Currency 4 4 4 3" xfId="2402"/>
    <cellStyle name="Currency 4 4 5" xfId="1015"/>
    <cellStyle name="Currency 4 4 5 2" xfId="2685"/>
    <cellStyle name="Currency 4 4 6" xfId="3518"/>
    <cellStyle name="Currency 4 4 7" xfId="1848"/>
    <cellStyle name="Currency 4 5" xfId="260"/>
    <cellStyle name="Currency 4 5 2" xfId="552"/>
    <cellStyle name="Currency 4 5 2 2" xfId="1393"/>
    <cellStyle name="Currency 4 5 2 2 2" xfId="3063"/>
    <cellStyle name="Currency 4 5 2 3" xfId="2226"/>
    <cellStyle name="Currency 4 5 3" xfId="786"/>
    <cellStyle name="Currency 4 5 3 2" xfId="1627"/>
    <cellStyle name="Currency 4 5 3 2 2" xfId="3297"/>
    <cellStyle name="Currency 4 5 3 3" xfId="2460"/>
    <cellStyle name="Currency 4 5 4" xfId="1107"/>
    <cellStyle name="Currency 4 5 4 2" xfId="2777"/>
    <cellStyle name="Currency 4 5 5" xfId="3610"/>
    <cellStyle name="Currency 4 5 6" xfId="1940"/>
    <cellStyle name="Currency 4 6" xfId="354"/>
    <cellStyle name="Currency 4 6 2" xfId="1199"/>
    <cellStyle name="Currency 4 6 2 2" xfId="2869"/>
    <cellStyle name="Currency 4 6 3" xfId="3702"/>
    <cellStyle name="Currency 4 6 4" xfId="2032"/>
    <cellStyle name="Currency 4 7" xfId="440"/>
    <cellStyle name="Currency 4 7 2" xfId="1283"/>
    <cellStyle name="Currency 4 7 2 2" xfId="2953"/>
    <cellStyle name="Currency 4 7 3" xfId="2116"/>
    <cellStyle name="Currency 4 8" xfId="676"/>
    <cellStyle name="Currency 4 8 2" xfId="1517"/>
    <cellStyle name="Currency 4 8 2 2" xfId="3187"/>
    <cellStyle name="Currency 4 8 3" xfId="2350"/>
    <cellStyle name="Currency 4 9" xfId="895"/>
    <cellStyle name="Currency 5" xfId="50"/>
    <cellStyle name="Currency 5 10" xfId="1762"/>
    <cellStyle name="Currency 5 2" xfId="118"/>
    <cellStyle name="Currency 5 2 2" xfId="206"/>
    <cellStyle name="Currency 5 2 2 2" xfId="621"/>
    <cellStyle name="Currency 5 2 2 2 2" xfId="1462"/>
    <cellStyle name="Currency 5 2 2 2 2 2" xfId="3132"/>
    <cellStyle name="Currency 5 2 2 2 3" xfId="2295"/>
    <cellStyle name="Currency 5 2 2 3" xfId="855"/>
    <cellStyle name="Currency 5 2 2 3 2" xfId="1696"/>
    <cellStyle name="Currency 5 2 2 3 2 2" xfId="3366"/>
    <cellStyle name="Currency 5 2 2 3 3" xfId="2529"/>
    <cellStyle name="Currency 5 2 2 4" xfId="1053"/>
    <cellStyle name="Currency 5 2 2 4 2" xfId="2723"/>
    <cellStyle name="Currency 5 2 2 5" xfId="3556"/>
    <cellStyle name="Currency 5 2 2 6" xfId="1886"/>
    <cellStyle name="Currency 5 2 3" xfId="298"/>
    <cellStyle name="Currency 5 2 3 2" xfId="1145"/>
    <cellStyle name="Currency 5 2 3 2 2" xfId="2815"/>
    <cellStyle name="Currency 5 2 3 3" xfId="3648"/>
    <cellStyle name="Currency 5 2 3 4" xfId="1978"/>
    <cellStyle name="Currency 5 2 4" xfId="392"/>
    <cellStyle name="Currency 5 2 4 2" xfId="1237"/>
    <cellStyle name="Currency 5 2 4 2 2" xfId="2907"/>
    <cellStyle name="Currency 5 2 4 3" xfId="3740"/>
    <cellStyle name="Currency 5 2 4 4" xfId="2070"/>
    <cellStyle name="Currency 5 2 5" xfId="510"/>
    <cellStyle name="Currency 5 2 5 2" xfId="1352"/>
    <cellStyle name="Currency 5 2 5 2 2" xfId="3022"/>
    <cellStyle name="Currency 5 2 5 3" xfId="2185"/>
    <cellStyle name="Currency 5 2 6" xfId="745"/>
    <cellStyle name="Currency 5 2 6 2" xfId="1586"/>
    <cellStyle name="Currency 5 2 6 2 2" xfId="3256"/>
    <cellStyle name="Currency 5 2 6 3" xfId="2419"/>
    <cellStyle name="Currency 5 2 7" xfId="965"/>
    <cellStyle name="Currency 5 2 7 2" xfId="2635"/>
    <cellStyle name="Currency 5 2 8" xfId="3468"/>
    <cellStyle name="Currency 5 2 9" xfId="1798"/>
    <cellStyle name="Currency 5 3" xfId="170"/>
    <cellStyle name="Currency 5 3 2" xfId="569"/>
    <cellStyle name="Currency 5 3 2 2" xfId="1410"/>
    <cellStyle name="Currency 5 3 2 2 2" xfId="3080"/>
    <cellStyle name="Currency 5 3 2 3" xfId="2243"/>
    <cellStyle name="Currency 5 3 3" xfId="803"/>
    <cellStyle name="Currency 5 3 3 2" xfId="1644"/>
    <cellStyle name="Currency 5 3 3 2 2" xfId="3314"/>
    <cellStyle name="Currency 5 3 3 3" xfId="2477"/>
    <cellStyle name="Currency 5 3 4" xfId="1017"/>
    <cellStyle name="Currency 5 3 4 2" xfId="2687"/>
    <cellStyle name="Currency 5 3 5" xfId="3520"/>
    <cellStyle name="Currency 5 3 6" xfId="1850"/>
    <cellStyle name="Currency 5 4" xfId="262"/>
    <cellStyle name="Currency 5 4 2" xfId="1109"/>
    <cellStyle name="Currency 5 4 2 2" xfId="2779"/>
    <cellStyle name="Currency 5 4 3" xfId="3612"/>
    <cellStyle name="Currency 5 4 4" xfId="1942"/>
    <cellStyle name="Currency 5 5" xfId="356"/>
    <cellStyle name="Currency 5 5 2" xfId="1201"/>
    <cellStyle name="Currency 5 5 2 2" xfId="2871"/>
    <cellStyle name="Currency 5 5 3" xfId="3704"/>
    <cellStyle name="Currency 5 5 4" xfId="2034"/>
    <cellStyle name="Currency 5 6" xfId="457"/>
    <cellStyle name="Currency 5 6 2" xfId="1300"/>
    <cellStyle name="Currency 5 6 2 2" xfId="2970"/>
    <cellStyle name="Currency 5 6 3" xfId="2133"/>
    <cellStyle name="Currency 5 7" xfId="693"/>
    <cellStyle name="Currency 5 7 2" xfId="1534"/>
    <cellStyle name="Currency 5 7 2 2" xfId="3204"/>
    <cellStyle name="Currency 5 7 3" xfId="2367"/>
    <cellStyle name="Currency 5 8" xfId="929"/>
    <cellStyle name="Currency 5 8 2" xfId="2599"/>
    <cellStyle name="Currency 5 9" xfId="3432"/>
    <cellStyle name="Currency 6" xfId="53"/>
    <cellStyle name="Currency 7" xfId="327"/>
    <cellStyle name="Currency 8" xfId="901"/>
    <cellStyle name="Currency 8 2" xfId="2571"/>
    <cellStyle name="Currency0" xfId="56"/>
    <cellStyle name="Explanatory Text" xfId="75" builtinId="53" customBuiltin="1"/>
    <cellStyle name="Good" xfId="66" builtinId="26" customBuiltin="1"/>
    <cellStyle name="Heading 1" xfId="62" builtinId="16" customBuiltin="1"/>
    <cellStyle name="Heading 2" xfId="63" builtinId="17" customBuiltin="1"/>
    <cellStyle name="Heading 3" xfId="64" builtinId="18" customBuiltin="1"/>
    <cellStyle name="Heading 4" xfId="65" builtinId="19" customBuiltin="1"/>
    <cellStyle name="Hyperlink" xfId="3771" builtinId="8"/>
    <cellStyle name="Hyperlink 2" xfId="532"/>
    <cellStyle name="Input" xfId="69" builtinId="20" customBuiltin="1"/>
    <cellStyle name="Linked Cell" xfId="72" builtinId="24" customBuiltin="1"/>
    <cellStyle name="Neutral" xfId="68" builtinId="28" customBuiltin="1"/>
    <cellStyle name="Normal" xfId="0" builtinId="0"/>
    <cellStyle name="Normal 10" xfId="54"/>
    <cellStyle name="Normal 10 10" xfId="1764"/>
    <cellStyle name="Normal 10 2" xfId="119"/>
    <cellStyle name="Normal 10 2 2" xfId="207"/>
    <cellStyle name="Normal 10 2 2 2" xfId="639"/>
    <cellStyle name="Normal 10 2 2 2 2" xfId="1480"/>
    <cellStyle name="Normal 10 2 2 2 2 2" xfId="3150"/>
    <cellStyle name="Normal 10 2 2 2 3" xfId="2313"/>
    <cellStyle name="Normal 10 2 2 3" xfId="873"/>
    <cellStyle name="Normal 10 2 2 3 2" xfId="1714"/>
    <cellStyle name="Normal 10 2 2 3 2 2" xfId="3384"/>
    <cellStyle name="Normal 10 2 2 3 3" xfId="2547"/>
    <cellStyle name="Normal 10 2 2 4" xfId="1054"/>
    <cellStyle name="Normal 10 2 2 4 2" xfId="2724"/>
    <cellStyle name="Normal 10 2 2 5" xfId="3557"/>
    <cellStyle name="Normal 10 2 2 6" xfId="1887"/>
    <cellStyle name="Normal 10 2 3" xfId="299"/>
    <cellStyle name="Normal 10 2 3 2" xfId="1146"/>
    <cellStyle name="Normal 10 2 3 2 2" xfId="2816"/>
    <cellStyle name="Normal 10 2 3 3" xfId="3649"/>
    <cellStyle name="Normal 10 2 3 4" xfId="1979"/>
    <cellStyle name="Normal 10 2 4" xfId="393"/>
    <cellStyle name="Normal 10 2 4 2" xfId="1238"/>
    <cellStyle name="Normal 10 2 4 2 2" xfId="2908"/>
    <cellStyle name="Normal 10 2 4 3" xfId="3741"/>
    <cellStyle name="Normal 10 2 4 4" xfId="2071"/>
    <cellStyle name="Normal 10 2 5" xfId="528"/>
    <cellStyle name="Normal 10 2 5 2" xfId="1370"/>
    <cellStyle name="Normal 10 2 5 2 2" xfId="3040"/>
    <cellStyle name="Normal 10 2 5 3" xfId="2203"/>
    <cellStyle name="Normal 10 2 6" xfId="763"/>
    <cellStyle name="Normal 10 2 6 2" xfId="1604"/>
    <cellStyle name="Normal 10 2 6 2 2" xfId="3274"/>
    <cellStyle name="Normal 10 2 6 3" xfId="2437"/>
    <cellStyle name="Normal 10 2 7" xfId="966"/>
    <cellStyle name="Normal 10 2 7 2" xfId="2636"/>
    <cellStyle name="Normal 10 2 8" xfId="3469"/>
    <cellStyle name="Normal 10 2 9" xfId="1799"/>
    <cellStyle name="Normal 10 3" xfId="171"/>
    <cellStyle name="Normal 10 3 2" xfId="587"/>
    <cellStyle name="Normal 10 3 2 2" xfId="1428"/>
    <cellStyle name="Normal 10 3 2 2 2" xfId="3098"/>
    <cellStyle name="Normal 10 3 2 3" xfId="2261"/>
    <cellStyle name="Normal 10 3 3" xfId="821"/>
    <cellStyle name="Normal 10 3 3 2" xfId="1662"/>
    <cellStyle name="Normal 10 3 3 2 2" xfId="3332"/>
    <cellStyle name="Normal 10 3 3 3" xfId="2495"/>
    <cellStyle name="Normal 10 3 4" xfId="1018"/>
    <cellStyle name="Normal 10 3 4 2" xfId="2688"/>
    <cellStyle name="Normal 10 3 5" xfId="3521"/>
    <cellStyle name="Normal 10 3 6" xfId="1851"/>
    <cellStyle name="Normal 10 4" xfId="263"/>
    <cellStyle name="Normal 10 4 2" xfId="1110"/>
    <cellStyle name="Normal 10 4 2 2" xfId="2780"/>
    <cellStyle name="Normal 10 4 3" xfId="3613"/>
    <cellStyle name="Normal 10 4 4" xfId="1943"/>
    <cellStyle name="Normal 10 5" xfId="357"/>
    <cellStyle name="Normal 10 5 2" xfId="1202"/>
    <cellStyle name="Normal 10 5 2 2" xfId="2872"/>
    <cellStyle name="Normal 10 5 3" xfId="3705"/>
    <cellStyle name="Normal 10 5 4" xfId="2035"/>
    <cellStyle name="Normal 10 6" xfId="476"/>
    <cellStyle name="Normal 10 6 2" xfId="1318"/>
    <cellStyle name="Normal 10 6 2 2" xfId="2988"/>
    <cellStyle name="Normal 10 6 3" xfId="2151"/>
    <cellStyle name="Normal 10 7" xfId="711"/>
    <cellStyle name="Normal 10 7 2" xfId="1552"/>
    <cellStyle name="Normal 10 7 2 2" xfId="3222"/>
    <cellStyle name="Normal 10 7 3" xfId="2385"/>
    <cellStyle name="Normal 10 8" xfId="931"/>
    <cellStyle name="Normal 10 8 2" xfId="2601"/>
    <cellStyle name="Normal 10 9" xfId="3434"/>
    <cellStyle name="Normal 11" xfId="58"/>
    <cellStyle name="Normal 11 10" xfId="1767"/>
    <cellStyle name="Normal 11 2" xfId="105"/>
    <cellStyle name="Normal 11 2 2" xfId="208"/>
    <cellStyle name="Normal 11 2 2 2" xfId="1055"/>
    <cellStyle name="Normal 11 2 2 2 2" xfId="2725"/>
    <cellStyle name="Normal 11 2 2 3" xfId="3558"/>
    <cellStyle name="Normal 11 2 2 4" xfId="1888"/>
    <cellStyle name="Normal 11 2 3" xfId="300"/>
    <cellStyle name="Normal 11 2 3 2" xfId="1147"/>
    <cellStyle name="Normal 11 2 3 2 2" xfId="2817"/>
    <cellStyle name="Normal 11 2 3 3" xfId="3650"/>
    <cellStyle name="Normal 11 2 3 4" xfId="1980"/>
    <cellStyle name="Normal 11 2 4" xfId="394"/>
    <cellStyle name="Normal 11 2 4 2" xfId="1239"/>
    <cellStyle name="Normal 11 2 4 2 2" xfId="2909"/>
    <cellStyle name="Normal 11 2 4 3" xfId="3742"/>
    <cellStyle name="Normal 11 2 4 4" xfId="2072"/>
    <cellStyle name="Normal 11 2 5" xfId="641"/>
    <cellStyle name="Normal 11 2 5 2" xfId="1482"/>
    <cellStyle name="Normal 11 2 5 2 2" xfId="3152"/>
    <cellStyle name="Normal 11 2 5 3" xfId="2315"/>
    <cellStyle name="Normal 11 2 6" xfId="875"/>
    <cellStyle name="Normal 11 2 6 2" xfId="1716"/>
    <cellStyle name="Normal 11 2 6 2 2" xfId="3386"/>
    <cellStyle name="Normal 11 2 6 3" xfId="2549"/>
    <cellStyle name="Normal 11 2 7" xfId="953"/>
    <cellStyle name="Normal 11 2 7 2" xfId="2623"/>
    <cellStyle name="Normal 11 2 8" xfId="3456"/>
    <cellStyle name="Normal 11 2 9" xfId="1786"/>
    <cellStyle name="Normal 11 3" xfId="158"/>
    <cellStyle name="Normal 11 3 2" xfId="1005"/>
    <cellStyle name="Normal 11 3 2 2" xfId="2675"/>
    <cellStyle name="Normal 11 3 3" xfId="3508"/>
    <cellStyle name="Normal 11 3 4" xfId="1838"/>
    <cellStyle name="Normal 11 4" xfId="250"/>
    <cellStyle name="Normal 11 4 2" xfId="1097"/>
    <cellStyle name="Normal 11 4 2 2" xfId="2767"/>
    <cellStyle name="Normal 11 4 3" xfId="3600"/>
    <cellStyle name="Normal 11 4 4" xfId="1930"/>
    <cellStyle name="Normal 11 5" xfId="344"/>
    <cellStyle name="Normal 11 5 2" xfId="1189"/>
    <cellStyle name="Normal 11 5 2 2" xfId="2859"/>
    <cellStyle name="Normal 11 5 3" xfId="3692"/>
    <cellStyle name="Normal 11 5 4" xfId="2022"/>
    <cellStyle name="Normal 11 6" xfId="530"/>
    <cellStyle name="Normal 11 6 2" xfId="1372"/>
    <cellStyle name="Normal 11 6 2 2" xfId="3042"/>
    <cellStyle name="Normal 11 6 3" xfId="2205"/>
    <cellStyle name="Normal 11 7" xfId="765"/>
    <cellStyle name="Normal 11 7 2" xfId="1606"/>
    <cellStyle name="Normal 11 7 2 2" xfId="3276"/>
    <cellStyle name="Normal 11 7 3" xfId="2439"/>
    <cellStyle name="Normal 11 8" xfId="934"/>
    <cellStyle name="Normal 11 8 2" xfId="2604"/>
    <cellStyle name="Normal 11 9" xfId="3437"/>
    <cellStyle name="Normal 12" xfId="59"/>
    <cellStyle name="Normal 12 10" xfId="1768"/>
    <cellStyle name="Normal 12 2" xfId="120"/>
    <cellStyle name="Normal 12 2 2" xfId="209"/>
    <cellStyle name="Normal 12 2 2 2" xfId="1056"/>
    <cellStyle name="Normal 12 2 2 2 2" xfId="2726"/>
    <cellStyle name="Normal 12 2 2 3" xfId="3559"/>
    <cellStyle name="Normal 12 2 2 4" xfId="1889"/>
    <cellStyle name="Normal 12 2 3" xfId="301"/>
    <cellStyle name="Normal 12 2 3 2" xfId="1148"/>
    <cellStyle name="Normal 12 2 3 2 2" xfId="2818"/>
    <cellStyle name="Normal 12 2 3 3" xfId="3651"/>
    <cellStyle name="Normal 12 2 3 4" xfId="1981"/>
    <cellStyle name="Normal 12 2 4" xfId="395"/>
    <cellStyle name="Normal 12 2 4 2" xfId="1240"/>
    <cellStyle name="Normal 12 2 4 2 2" xfId="2910"/>
    <cellStyle name="Normal 12 2 4 3" xfId="3743"/>
    <cellStyle name="Normal 12 2 4 4" xfId="2073"/>
    <cellStyle name="Normal 12 2 5" xfId="967"/>
    <cellStyle name="Normal 12 2 5 2" xfId="2637"/>
    <cellStyle name="Normal 12 2 6" xfId="3470"/>
    <cellStyle name="Normal 12 2 7" xfId="1800"/>
    <cellStyle name="Normal 12 3" xfId="172"/>
    <cellStyle name="Normal 12 3 2" xfId="1019"/>
    <cellStyle name="Normal 12 3 2 2" xfId="2689"/>
    <cellStyle name="Normal 12 3 3" xfId="3522"/>
    <cellStyle name="Normal 12 3 4" xfId="1852"/>
    <cellStyle name="Normal 12 4" xfId="264"/>
    <cellStyle name="Normal 12 4 2" xfId="1111"/>
    <cellStyle name="Normal 12 4 2 2" xfId="2781"/>
    <cellStyle name="Normal 12 4 3" xfId="3614"/>
    <cellStyle name="Normal 12 4 4" xfId="1944"/>
    <cellStyle name="Normal 12 5" xfId="358"/>
    <cellStyle name="Normal 12 5 2" xfId="1203"/>
    <cellStyle name="Normal 12 5 2 2" xfId="2873"/>
    <cellStyle name="Normal 12 5 3" xfId="3706"/>
    <cellStyle name="Normal 12 5 4" xfId="2036"/>
    <cellStyle name="Normal 12 6" xfId="656"/>
    <cellStyle name="Normal 12 6 2" xfId="1497"/>
    <cellStyle name="Normal 12 6 2 2" xfId="3167"/>
    <cellStyle name="Normal 12 6 3" xfId="2330"/>
    <cellStyle name="Normal 12 7" xfId="890"/>
    <cellStyle name="Normal 12 7 2" xfId="1731"/>
    <cellStyle name="Normal 12 7 2 2" xfId="3401"/>
    <cellStyle name="Normal 12 7 3" xfId="2564"/>
    <cellStyle name="Normal 12 8" xfId="935"/>
    <cellStyle name="Normal 12 8 2" xfId="2605"/>
    <cellStyle name="Normal 12 9" xfId="3438"/>
    <cellStyle name="Normal 13" xfId="101"/>
    <cellStyle name="Normal 13 2" xfId="210"/>
    <cellStyle name="Normal 13 2 2" xfId="326"/>
    <cellStyle name="Normal 13 2 3" xfId="1057"/>
    <cellStyle name="Normal 13 2 3 2" xfId="2727"/>
    <cellStyle name="Normal 13 2 4" xfId="3560"/>
    <cellStyle name="Normal 13 2 5" xfId="1890"/>
    <cellStyle name="Normal 13 3" xfId="302"/>
    <cellStyle name="Normal 13 3 2" xfId="1149"/>
    <cellStyle name="Normal 13 3 2 2" xfId="2819"/>
    <cellStyle name="Normal 13 3 3" xfId="3652"/>
    <cellStyle name="Normal 13 3 4" xfId="1982"/>
    <cellStyle name="Normal 13 4" xfId="396"/>
    <cellStyle name="Normal 13 4 2" xfId="1241"/>
    <cellStyle name="Normal 13 4 2 2" xfId="2911"/>
    <cellStyle name="Normal 13 4 3" xfId="3744"/>
    <cellStyle name="Normal 13 4 4" xfId="2074"/>
    <cellStyle name="Normal 13 5" xfId="949"/>
    <cellStyle name="Normal 13 5 2" xfId="2619"/>
    <cellStyle name="Normal 13 6" xfId="3452"/>
    <cellStyle name="Normal 13 7" xfId="1782"/>
    <cellStyle name="Normal 14" xfId="142"/>
    <cellStyle name="Normal 14 2" xfId="989"/>
    <cellStyle name="Normal 14 2 2" xfId="2659"/>
    <cellStyle name="Normal 14 3" xfId="3492"/>
    <cellStyle name="Normal 14 4" xfId="1822"/>
    <cellStyle name="Normal 15" xfId="234"/>
    <cellStyle name="Normal 15 2" xfId="1081"/>
    <cellStyle name="Normal 15 2 2" xfId="2751"/>
    <cellStyle name="Normal 15 3" xfId="3584"/>
    <cellStyle name="Normal 15 4" xfId="1914"/>
    <cellStyle name="Normal 16" xfId="328"/>
    <cellStyle name="Normal 16 2" xfId="1173"/>
    <cellStyle name="Normal 16 2 2" xfId="2843"/>
    <cellStyle name="Normal 16 3" xfId="3676"/>
    <cellStyle name="Normal 16 4" xfId="2006"/>
    <cellStyle name="Normal 17" xfId="892"/>
    <cellStyle name="Normal 17 2" xfId="3768"/>
    <cellStyle name="Normal 17 3" xfId="2566"/>
    <cellStyle name="Normal 18" xfId="3770"/>
    <cellStyle name="Normal 2" xfId="5"/>
    <cellStyle name="Normal 2 2" xfId="18"/>
    <cellStyle name="Normal 2 3" xfId="28"/>
    <cellStyle name="Normal 2 4" xfId="51"/>
    <cellStyle name="Normal 2 4 10" xfId="1763"/>
    <cellStyle name="Normal 2 4 2" xfId="121"/>
    <cellStyle name="Normal 2 4 2 2" xfId="211"/>
    <cellStyle name="Normal 2 4 2 2 2" xfId="622"/>
    <cellStyle name="Normal 2 4 2 2 2 2" xfId="1463"/>
    <cellStyle name="Normal 2 4 2 2 2 2 2" xfId="3133"/>
    <cellStyle name="Normal 2 4 2 2 2 3" xfId="2296"/>
    <cellStyle name="Normal 2 4 2 2 3" xfId="856"/>
    <cellStyle name="Normal 2 4 2 2 3 2" xfId="1697"/>
    <cellStyle name="Normal 2 4 2 2 3 2 2" xfId="3367"/>
    <cellStyle name="Normal 2 4 2 2 3 3" xfId="2530"/>
    <cellStyle name="Normal 2 4 2 2 4" xfId="1058"/>
    <cellStyle name="Normal 2 4 2 2 4 2" xfId="2728"/>
    <cellStyle name="Normal 2 4 2 2 5" xfId="3561"/>
    <cellStyle name="Normal 2 4 2 2 6" xfId="1891"/>
    <cellStyle name="Normal 2 4 2 3" xfId="303"/>
    <cellStyle name="Normal 2 4 2 3 2" xfId="1150"/>
    <cellStyle name="Normal 2 4 2 3 2 2" xfId="2820"/>
    <cellStyle name="Normal 2 4 2 3 3" xfId="3653"/>
    <cellStyle name="Normal 2 4 2 3 4" xfId="1983"/>
    <cellStyle name="Normal 2 4 2 4" xfId="397"/>
    <cellStyle name="Normal 2 4 2 4 2" xfId="1242"/>
    <cellStyle name="Normal 2 4 2 4 2 2" xfId="2912"/>
    <cellStyle name="Normal 2 4 2 4 3" xfId="3745"/>
    <cellStyle name="Normal 2 4 2 4 4" xfId="2075"/>
    <cellStyle name="Normal 2 4 2 5" xfId="511"/>
    <cellStyle name="Normal 2 4 2 5 2" xfId="1353"/>
    <cellStyle name="Normal 2 4 2 5 2 2" xfId="3023"/>
    <cellStyle name="Normal 2 4 2 5 3" xfId="2186"/>
    <cellStyle name="Normal 2 4 2 6" xfId="746"/>
    <cellStyle name="Normal 2 4 2 6 2" xfId="1587"/>
    <cellStyle name="Normal 2 4 2 6 2 2" xfId="3257"/>
    <cellStyle name="Normal 2 4 2 6 3" xfId="2420"/>
    <cellStyle name="Normal 2 4 2 7" xfId="968"/>
    <cellStyle name="Normal 2 4 2 7 2" xfId="2638"/>
    <cellStyle name="Normal 2 4 2 8" xfId="3471"/>
    <cellStyle name="Normal 2 4 2 9" xfId="1801"/>
    <cellStyle name="Normal 2 4 3" xfId="173"/>
    <cellStyle name="Normal 2 4 3 2" xfId="570"/>
    <cellStyle name="Normal 2 4 3 2 2" xfId="1411"/>
    <cellStyle name="Normal 2 4 3 2 2 2" xfId="3081"/>
    <cellStyle name="Normal 2 4 3 2 3" xfId="2244"/>
    <cellStyle name="Normal 2 4 3 3" xfId="804"/>
    <cellStyle name="Normal 2 4 3 3 2" xfId="1645"/>
    <cellStyle name="Normal 2 4 3 3 2 2" xfId="3315"/>
    <cellStyle name="Normal 2 4 3 3 3" xfId="2478"/>
    <cellStyle name="Normal 2 4 3 4" xfId="1020"/>
    <cellStyle name="Normal 2 4 3 4 2" xfId="2690"/>
    <cellStyle name="Normal 2 4 3 5" xfId="3523"/>
    <cellStyle name="Normal 2 4 3 6" xfId="1853"/>
    <cellStyle name="Normal 2 4 4" xfId="265"/>
    <cellStyle name="Normal 2 4 4 2" xfId="1112"/>
    <cellStyle name="Normal 2 4 4 2 2" xfId="2782"/>
    <cellStyle name="Normal 2 4 4 3" xfId="3615"/>
    <cellStyle name="Normal 2 4 4 4" xfId="1945"/>
    <cellStyle name="Normal 2 4 5" xfId="359"/>
    <cellStyle name="Normal 2 4 5 2" xfId="1204"/>
    <cellStyle name="Normal 2 4 5 2 2" xfId="2874"/>
    <cellStyle name="Normal 2 4 5 3" xfId="3707"/>
    <cellStyle name="Normal 2 4 5 4" xfId="2037"/>
    <cellStyle name="Normal 2 4 6" xfId="458"/>
    <cellStyle name="Normal 2 4 6 2" xfId="1301"/>
    <cellStyle name="Normal 2 4 6 2 2" xfId="2971"/>
    <cellStyle name="Normal 2 4 6 3" xfId="2134"/>
    <cellStyle name="Normal 2 4 7" xfId="694"/>
    <cellStyle name="Normal 2 4 7 2" xfId="1535"/>
    <cellStyle name="Normal 2 4 7 2 2" xfId="3205"/>
    <cellStyle name="Normal 2 4 7 3" xfId="2368"/>
    <cellStyle name="Normal 2 4 8" xfId="930"/>
    <cellStyle name="Normal 2 4 8 2" xfId="2600"/>
    <cellStyle name="Normal 2 4 9" xfId="3433"/>
    <cellStyle name="Normal 2 5" xfId="424"/>
    <cellStyle name="Normal 3" xfId="7"/>
    <cellStyle name="Normal 4" xfId="9"/>
    <cellStyle name="Normal 5" xfId="10"/>
    <cellStyle name="Normal 5 10" xfId="420"/>
    <cellStyle name="Normal 5 10 2" xfId="1265"/>
    <cellStyle name="Normal 5 10 2 2" xfId="2935"/>
    <cellStyle name="Normal 5 10 3" xfId="2098"/>
    <cellStyle name="Normal 5 11" xfId="658"/>
    <cellStyle name="Normal 5 11 2" xfId="1499"/>
    <cellStyle name="Normal 5 11 2 2" xfId="3169"/>
    <cellStyle name="Normal 5 11 3" xfId="2332"/>
    <cellStyle name="Normal 5 12" xfId="897"/>
    <cellStyle name="Normal 5 12 2" xfId="2567"/>
    <cellStyle name="Normal 5 13" xfId="3403"/>
    <cellStyle name="Normal 5 14" xfId="1733"/>
    <cellStyle name="Normal 5 2" xfId="19"/>
    <cellStyle name="Normal 5 2 10" xfId="903"/>
    <cellStyle name="Normal 5 2 10 2" xfId="2573"/>
    <cellStyle name="Normal 5 2 11" xfId="3406"/>
    <cellStyle name="Normal 5 2 12" xfId="1736"/>
    <cellStyle name="Normal 5 2 2" xfId="32"/>
    <cellStyle name="Normal 5 2 2 10" xfId="1744"/>
    <cellStyle name="Normal 5 2 2 2" xfId="124"/>
    <cellStyle name="Normal 5 2 2 2 2" xfId="212"/>
    <cellStyle name="Normal 5 2 2 2 2 2" xfId="634"/>
    <cellStyle name="Normal 5 2 2 2 2 2 2" xfId="868"/>
    <cellStyle name="Normal 5 2 2 2 2 2 2 2" xfId="1709"/>
    <cellStyle name="Normal 5 2 2 2 2 2 2 2 2" xfId="3379"/>
    <cellStyle name="Normal 5 2 2 2 2 2 2 3" xfId="2542"/>
    <cellStyle name="Normal 5 2 2 2 2 2 3" xfId="1475"/>
    <cellStyle name="Normal 5 2 2 2 2 2 3 2" xfId="3145"/>
    <cellStyle name="Normal 5 2 2 2 2 2 4" xfId="2308"/>
    <cellStyle name="Normal 5 2 2 2 2 3" xfId="523"/>
    <cellStyle name="Normal 5 2 2 2 2 3 2" xfId="1365"/>
    <cellStyle name="Normal 5 2 2 2 2 3 2 2" xfId="3035"/>
    <cellStyle name="Normal 5 2 2 2 2 3 3" xfId="2198"/>
    <cellStyle name="Normal 5 2 2 2 2 4" xfId="758"/>
    <cellStyle name="Normal 5 2 2 2 2 4 2" xfId="1599"/>
    <cellStyle name="Normal 5 2 2 2 2 4 2 2" xfId="3269"/>
    <cellStyle name="Normal 5 2 2 2 2 4 3" xfId="2432"/>
    <cellStyle name="Normal 5 2 2 2 2 5" xfId="1059"/>
    <cellStyle name="Normal 5 2 2 2 2 5 2" xfId="2729"/>
    <cellStyle name="Normal 5 2 2 2 2 6" xfId="3562"/>
    <cellStyle name="Normal 5 2 2 2 2 7" xfId="1892"/>
    <cellStyle name="Normal 5 2 2 2 3" xfId="304"/>
    <cellStyle name="Normal 5 2 2 2 3 2" xfId="582"/>
    <cellStyle name="Normal 5 2 2 2 3 2 2" xfId="1423"/>
    <cellStyle name="Normal 5 2 2 2 3 2 2 2" xfId="3093"/>
    <cellStyle name="Normal 5 2 2 2 3 2 3" xfId="2256"/>
    <cellStyle name="Normal 5 2 2 2 3 3" xfId="816"/>
    <cellStyle name="Normal 5 2 2 2 3 3 2" xfId="1657"/>
    <cellStyle name="Normal 5 2 2 2 3 3 2 2" xfId="3327"/>
    <cellStyle name="Normal 5 2 2 2 3 3 3" xfId="2490"/>
    <cellStyle name="Normal 5 2 2 2 3 4" xfId="1151"/>
    <cellStyle name="Normal 5 2 2 2 3 4 2" xfId="2821"/>
    <cellStyle name="Normal 5 2 2 2 3 5" xfId="3654"/>
    <cellStyle name="Normal 5 2 2 2 3 6" xfId="1984"/>
    <cellStyle name="Normal 5 2 2 2 4" xfId="398"/>
    <cellStyle name="Normal 5 2 2 2 4 2" xfId="1243"/>
    <cellStyle name="Normal 5 2 2 2 4 2 2" xfId="2913"/>
    <cellStyle name="Normal 5 2 2 2 4 3" xfId="3746"/>
    <cellStyle name="Normal 5 2 2 2 4 4" xfId="2076"/>
    <cellStyle name="Normal 5 2 2 2 5" xfId="471"/>
    <cellStyle name="Normal 5 2 2 2 5 2" xfId="1313"/>
    <cellStyle name="Normal 5 2 2 2 5 2 2" xfId="2983"/>
    <cellStyle name="Normal 5 2 2 2 5 3" xfId="2146"/>
    <cellStyle name="Normal 5 2 2 2 6" xfId="706"/>
    <cellStyle name="Normal 5 2 2 2 6 2" xfId="1547"/>
    <cellStyle name="Normal 5 2 2 2 6 2 2" xfId="3217"/>
    <cellStyle name="Normal 5 2 2 2 6 3" xfId="2380"/>
    <cellStyle name="Normal 5 2 2 2 7" xfId="971"/>
    <cellStyle name="Normal 5 2 2 2 7 2" xfId="2641"/>
    <cellStyle name="Normal 5 2 2 2 8" xfId="3474"/>
    <cellStyle name="Normal 5 2 2 2 9" xfId="1804"/>
    <cellStyle name="Normal 5 2 2 3" xfId="176"/>
    <cellStyle name="Normal 5 2 2 3 2" xfId="600"/>
    <cellStyle name="Normal 5 2 2 3 2 2" xfId="834"/>
    <cellStyle name="Normal 5 2 2 3 2 2 2" xfId="1675"/>
    <cellStyle name="Normal 5 2 2 3 2 2 2 2" xfId="3345"/>
    <cellStyle name="Normal 5 2 2 3 2 2 3" xfId="2508"/>
    <cellStyle name="Normal 5 2 2 3 2 3" xfId="1441"/>
    <cellStyle name="Normal 5 2 2 3 2 3 2" xfId="3111"/>
    <cellStyle name="Normal 5 2 2 3 2 4" xfId="2274"/>
    <cellStyle name="Normal 5 2 2 3 3" xfId="489"/>
    <cellStyle name="Normal 5 2 2 3 3 2" xfId="1331"/>
    <cellStyle name="Normal 5 2 2 3 3 2 2" xfId="3001"/>
    <cellStyle name="Normal 5 2 2 3 3 3" xfId="2164"/>
    <cellStyle name="Normal 5 2 2 3 4" xfId="724"/>
    <cellStyle name="Normal 5 2 2 3 4 2" xfId="1565"/>
    <cellStyle name="Normal 5 2 2 3 4 2 2" xfId="3235"/>
    <cellStyle name="Normal 5 2 2 3 4 3" xfId="2398"/>
    <cellStyle name="Normal 5 2 2 3 5" xfId="1023"/>
    <cellStyle name="Normal 5 2 2 3 5 2" xfId="2693"/>
    <cellStyle name="Normal 5 2 2 3 6" xfId="3526"/>
    <cellStyle name="Normal 5 2 2 3 7" xfId="1856"/>
    <cellStyle name="Normal 5 2 2 4" xfId="268"/>
    <cellStyle name="Normal 5 2 2 4 2" xfId="548"/>
    <cellStyle name="Normal 5 2 2 4 2 2" xfId="1389"/>
    <cellStyle name="Normal 5 2 2 4 2 2 2" xfId="3059"/>
    <cellStyle name="Normal 5 2 2 4 2 3" xfId="2222"/>
    <cellStyle name="Normal 5 2 2 4 3" xfId="782"/>
    <cellStyle name="Normal 5 2 2 4 3 2" xfId="1623"/>
    <cellStyle name="Normal 5 2 2 4 3 2 2" xfId="3293"/>
    <cellStyle name="Normal 5 2 2 4 3 3" xfId="2456"/>
    <cellStyle name="Normal 5 2 2 4 4" xfId="1115"/>
    <cellStyle name="Normal 5 2 2 4 4 2" xfId="2785"/>
    <cellStyle name="Normal 5 2 2 4 5" xfId="3618"/>
    <cellStyle name="Normal 5 2 2 4 6" xfId="1948"/>
    <cellStyle name="Normal 5 2 2 5" xfId="362"/>
    <cellStyle name="Normal 5 2 2 5 2" xfId="1207"/>
    <cellStyle name="Normal 5 2 2 5 2 2" xfId="2877"/>
    <cellStyle name="Normal 5 2 2 5 3" xfId="3710"/>
    <cellStyle name="Normal 5 2 2 5 4" xfId="2040"/>
    <cellStyle name="Normal 5 2 2 6" xfId="436"/>
    <cellStyle name="Normal 5 2 2 6 2" xfId="1279"/>
    <cellStyle name="Normal 5 2 2 6 2 2" xfId="2949"/>
    <cellStyle name="Normal 5 2 2 6 3" xfId="2112"/>
    <cellStyle name="Normal 5 2 2 7" xfId="672"/>
    <cellStyle name="Normal 5 2 2 7 2" xfId="1513"/>
    <cellStyle name="Normal 5 2 2 7 2 2" xfId="3183"/>
    <cellStyle name="Normal 5 2 2 7 3" xfId="2346"/>
    <cellStyle name="Normal 5 2 2 8" xfId="911"/>
    <cellStyle name="Normal 5 2 2 8 2" xfId="2581"/>
    <cellStyle name="Normal 5 2 2 9" xfId="3414"/>
    <cellStyle name="Normal 5 2 3" xfId="43"/>
    <cellStyle name="Normal 5 2 3 10" xfId="1755"/>
    <cellStyle name="Normal 5 2 3 2" xfId="125"/>
    <cellStyle name="Normal 5 2 3 2 2" xfId="213"/>
    <cellStyle name="Normal 5 2 3 2 2 2" xfId="614"/>
    <cellStyle name="Normal 5 2 3 2 2 2 2" xfId="1455"/>
    <cellStyle name="Normal 5 2 3 2 2 2 2 2" xfId="3125"/>
    <cellStyle name="Normal 5 2 3 2 2 2 3" xfId="2288"/>
    <cellStyle name="Normal 5 2 3 2 2 3" xfId="848"/>
    <cellStyle name="Normal 5 2 3 2 2 3 2" xfId="1689"/>
    <cellStyle name="Normal 5 2 3 2 2 3 2 2" xfId="3359"/>
    <cellStyle name="Normal 5 2 3 2 2 3 3" xfId="2522"/>
    <cellStyle name="Normal 5 2 3 2 2 4" xfId="1060"/>
    <cellStyle name="Normal 5 2 3 2 2 4 2" xfId="2730"/>
    <cellStyle name="Normal 5 2 3 2 2 5" xfId="3563"/>
    <cellStyle name="Normal 5 2 3 2 2 6" xfId="1893"/>
    <cellStyle name="Normal 5 2 3 2 3" xfId="305"/>
    <cellStyle name="Normal 5 2 3 2 3 2" xfId="1152"/>
    <cellStyle name="Normal 5 2 3 2 3 2 2" xfId="2822"/>
    <cellStyle name="Normal 5 2 3 2 3 3" xfId="3655"/>
    <cellStyle name="Normal 5 2 3 2 3 4" xfId="1985"/>
    <cellStyle name="Normal 5 2 3 2 4" xfId="399"/>
    <cellStyle name="Normal 5 2 3 2 4 2" xfId="1244"/>
    <cellStyle name="Normal 5 2 3 2 4 2 2" xfId="2914"/>
    <cellStyle name="Normal 5 2 3 2 4 3" xfId="3747"/>
    <cellStyle name="Normal 5 2 3 2 4 4" xfId="2077"/>
    <cellStyle name="Normal 5 2 3 2 5" xfId="503"/>
    <cellStyle name="Normal 5 2 3 2 5 2" xfId="1345"/>
    <cellStyle name="Normal 5 2 3 2 5 2 2" xfId="3015"/>
    <cellStyle name="Normal 5 2 3 2 5 3" xfId="2178"/>
    <cellStyle name="Normal 5 2 3 2 6" xfId="738"/>
    <cellStyle name="Normal 5 2 3 2 6 2" xfId="1579"/>
    <cellStyle name="Normal 5 2 3 2 6 2 2" xfId="3249"/>
    <cellStyle name="Normal 5 2 3 2 6 3" xfId="2412"/>
    <cellStyle name="Normal 5 2 3 2 7" xfId="972"/>
    <cellStyle name="Normal 5 2 3 2 7 2" xfId="2642"/>
    <cellStyle name="Normal 5 2 3 2 8" xfId="3475"/>
    <cellStyle name="Normal 5 2 3 2 9" xfId="1805"/>
    <cellStyle name="Normal 5 2 3 3" xfId="177"/>
    <cellStyle name="Normal 5 2 3 3 2" xfId="562"/>
    <cellStyle name="Normal 5 2 3 3 2 2" xfId="1403"/>
    <cellStyle name="Normal 5 2 3 3 2 2 2" xfId="3073"/>
    <cellStyle name="Normal 5 2 3 3 2 3" xfId="2236"/>
    <cellStyle name="Normal 5 2 3 3 3" xfId="796"/>
    <cellStyle name="Normal 5 2 3 3 3 2" xfId="1637"/>
    <cellStyle name="Normal 5 2 3 3 3 2 2" xfId="3307"/>
    <cellStyle name="Normal 5 2 3 3 3 3" xfId="2470"/>
    <cellStyle name="Normal 5 2 3 3 4" xfId="1024"/>
    <cellStyle name="Normal 5 2 3 3 4 2" xfId="2694"/>
    <cellStyle name="Normal 5 2 3 3 5" xfId="3527"/>
    <cellStyle name="Normal 5 2 3 3 6" xfId="1857"/>
    <cellStyle name="Normal 5 2 3 4" xfId="269"/>
    <cellStyle name="Normal 5 2 3 4 2" xfId="1116"/>
    <cellStyle name="Normal 5 2 3 4 2 2" xfId="2786"/>
    <cellStyle name="Normal 5 2 3 4 3" xfId="3619"/>
    <cellStyle name="Normal 5 2 3 4 4" xfId="1949"/>
    <cellStyle name="Normal 5 2 3 5" xfId="363"/>
    <cellStyle name="Normal 5 2 3 5 2" xfId="1208"/>
    <cellStyle name="Normal 5 2 3 5 2 2" xfId="2878"/>
    <cellStyle name="Normal 5 2 3 5 3" xfId="3711"/>
    <cellStyle name="Normal 5 2 3 5 4" xfId="2041"/>
    <cellStyle name="Normal 5 2 3 6" xfId="450"/>
    <cellStyle name="Normal 5 2 3 6 2" xfId="1293"/>
    <cellStyle name="Normal 5 2 3 6 2 2" xfId="2963"/>
    <cellStyle name="Normal 5 2 3 6 3" xfId="2126"/>
    <cellStyle name="Normal 5 2 3 7" xfId="686"/>
    <cellStyle name="Normal 5 2 3 7 2" xfId="1527"/>
    <cellStyle name="Normal 5 2 3 7 2 2" xfId="3197"/>
    <cellStyle name="Normal 5 2 3 7 3" xfId="2360"/>
    <cellStyle name="Normal 5 2 3 8" xfId="922"/>
    <cellStyle name="Normal 5 2 3 8 2" xfId="2592"/>
    <cellStyle name="Normal 5 2 3 9" xfId="3425"/>
    <cellStyle name="Normal 5 2 4" xfId="123"/>
    <cellStyle name="Normal 5 2 4 2" xfId="214"/>
    <cellStyle name="Normal 5 2 4 2 2" xfId="626"/>
    <cellStyle name="Normal 5 2 4 2 2 2" xfId="860"/>
    <cellStyle name="Normal 5 2 4 2 2 2 2" xfId="1701"/>
    <cellStyle name="Normal 5 2 4 2 2 2 2 2" xfId="3371"/>
    <cellStyle name="Normal 5 2 4 2 2 2 3" xfId="2534"/>
    <cellStyle name="Normal 5 2 4 2 2 3" xfId="1467"/>
    <cellStyle name="Normal 5 2 4 2 2 3 2" xfId="3137"/>
    <cellStyle name="Normal 5 2 4 2 2 4" xfId="2300"/>
    <cellStyle name="Normal 5 2 4 2 3" xfId="515"/>
    <cellStyle name="Normal 5 2 4 2 3 2" xfId="1357"/>
    <cellStyle name="Normal 5 2 4 2 3 2 2" xfId="3027"/>
    <cellStyle name="Normal 5 2 4 2 3 3" xfId="2190"/>
    <cellStyle name="Normal 5 2 4 2 4" xfId="750"/>
    <cellStyle name="Normal 5 2 4 2 4 2" xfId="1591"/>
    <cellStyle name="Normal 5 2 4 2 4 2 2" xfId="3261"/>
    <cellStyle name="Normal 5 2 4 2 4 3" xfId="2424"/>
    <cellStyle name="Normal 5 2 4 2 5" xfId="1061"/>
    <cellStyle name="Normal 5 2 4 2 5 2" xfId="2731"/>
    <cellStyle name="Normal 5 2 4 2 6" xfId="3564"/>
    <cellStyle name="Normal 5 2 4 2 7" xfId="1894"/>
    <cellStyle name="Normal 5 2 4 3" xfId="306"/>
    <cellStyle name="Normal 5 2 4 3 2" xfId="574"/>
    <cellStyle name="Normal 5 2 4 3 2 2" xfId="1415"/>
    <cellStyle name="Normal 5 2 4 3 2 2 2" xfId="3085"/>
    <cellStyle name="Normal 5 2 4 3 2 3" xfId="2248"/>
    <cellStyle name="Normal 5 2 4 3 3" xfId="808"/>
    <cellStyle name="Normal 5 2 4 3 3 2" xfId="1649"/>
    <cellStyle name="Normal 5 2 4 3 3 2 2" xfId="3319"/>
    <cellStyle name="Normal 5 2 4 3 3 3" xfId="2482"/>
    <cellStyle name="Normal 5 2 4 3 4" xfId="1153"/>
    <cellStyle name="Normal 5 2 4 3 4 2" xfId="2823"/>
    <cellStyle name="Normal 5 2 4 3 5" xfId="3656"/>
    <cellStyle name="Normal 5 2 4 3 6" xfId="1986"/>
    <cellStyle name="Normal 5 2 4 4" xfId="400"/>
    <cellStyle name="Normal 5 2 4 4 2" xfId="1245"/>
    <cellStyle name="Normal 5 2 4 4 2 2" xfId="2915"/>
    <cellStyle name="Normal 5 2 4 4 3" xfId="3748"/>
    <cellStyle name="Normal 5 2 4 4 4" xfId="2078"/>
    <cellStyle name="Normal 5 2 4 5" xfId="463"/>
    <cellStyle name="Normal 5 2 4 5 2" xfId="1305"/>
    <cellStyle name="Normal 5 2 4 5 2 2" xfId="2975"/>
    <cellStyle name="Normal 5 2 4 5 3" xfId="2138"/>
    <cellStyle name="Normal 5 2 4 6" xfId="698"/>
    <cellStyle name="Normal 5 2 4 6 2" xfId="1539"/>
    <cellStyle name="Normal 5 2 4 6 2 2" xfId="3209"/>
    <cellStyle name="Normal 5 2 4 6 3" xfId="2372"/>
    <cellStyle name="Normal 5 2 4 7" xfId="970"/>
    <cellStyle name="Normal 5 2 4 7 2" xfId="2640"/>
    <cellStyle name="Normal 5 2 4 8" xfId="3473"/>
    <cellStyle name="Normal 5 2 4 9" xfId="1803"/>
    <cellStyle name="Normal 5 2 5" xfId="175"/>
    <cellStyle name="Normal 5 2 5 2" xfId="592"/>
    <cellStyle name="Normal 5 2 5 2 2" xfId="826"/>
    <cellStyle name="Normal 5 2 5 2 2 2" xfId="1667"/>
    <cellStyle name="Normal 5 2 5 2 2 2 2" xfId="3337"/>
    <cellStyle name="Normal 5 2 5 2 2 3" xfId="2500"/>
    <cellStyle name="Normal 5 2 5 2 3" xfId="1433"/>
    <cellStyle name="Normal 5 2 5 2 3 2" xfId="3103"/>
    <cellStyle name="Normal 5 2 5 2 4" xfId="2266"/>
    <cellStyle name="Normal 5 2 5 3" xfId="481"/>
    <cellStyle name="Normal 5 2 5 3 2" xfId="1323"/>
    <cellStyle name="Normal 5 2 5 3 2 2" xfId="2993"/>
    <cellStyle name="Normal 5 2 5 3 3" xfId="2156"/>
    <cellStyle name="Normal 5 2 5 4" xfId="716"/>
    <cellStyle name="Normal 5 2 5 4 2" xfId="1557"/>
    <cellStyle name="Normal 5 2 5 4 2 2" xfId="3227"/>
    <cellStyle name="Normal 5 2 5 4 3" xfId="2390"/>
    <cellStyle name="Normal 5 2 5 5" xfId="1022"/>
    <cellStyle name="Normal 5 2 5 5 2" xfId="2692"/>
    <cellStyle name="Normal 5 2 5 6" xfId="3525"/>
    <cellStyle name="Normal 5 2 5 7" xfId="1855"/>
    <cellStyle name="Normal 5 2 6" xfId="267"/>
    <cellStyle name="Normal 5 2 6 2" xfId="540"/>
    <cellStyle name="Normal 5 2 6 2 2" xfId="1381"/>
    <cellStyle name="Normal 5 2 6 2 2 2" xfId="3051"/>
    <cellStyle name="Normal 5 2 6 2 3" xfId="2214"/>
    <cellStyle name="Normal 5 2 6 3" xfId="774"/>
    <cellStyle name="Normal 5 2 6 3 2" xfId="1615"/>
    <cellStyle name="Normal 5 2 6 3 2 2" xfId="3285"/>
    <cellStyle name="Normal 5 2 6 3 3" xfId="2448"/>
    <cellStyle name="Normal 5 2 6 4" xfId="1114"/>
    <cellStyle name="Normal 5 2 6 4 2" xfId="2784"/>
    <cellStyle name="Normal 5 2 6 5" xfId="3617"/>
    <cellStyle name="Normal 5 2 6 6" xfId="1947"/>
    <cellStyle name="Normal 5 2 7" xfId="361"/>
    <cellStyle name="Normal 5 2 7 2" xfId="1206"/>
    <cellStyle name="Normal 5 2 7 2 2" xfId="2876"/>
    <cellStyle name="Normal 5 2 7 3" xfId="3709"/>
    <cellStyle name="Normal 5 2 7 4" xfId="2039"/>
    <cellStyle name="Normal 5 2 8" xfId="428"/>
    <cellStyle name="Normal 5 2 8 2" xfId="1271"/>
    <cellStyle name="Normal 5 2 8 2 2" xfId="2941"/>
    <cellStyle name="Normal 5 2 8 3" xfId="2104"/>
    <cellStyle name="Normal 5 2 9" xfId="664"/>
    <cellStyle name="Normal 5 2 9 2" xfId="1505"/>
    <cellStyle name="Normal 5 2 9 2 2" xfId="3175"/>
    <cellStyle name="Normal 5 2 9 3" xfId="2338"/>
    <cellStyle name="Normal 5 3" xfId="29"/>
    <cellStyle name="Normal 5 3 10" xfId="3411"/>
    <cellStyle name="Normal 5 3 11" xfId="1741"/>
    <cellStyle name="Normal 5 3 2" xfId="40"/>
    <cellStyle name="Normal 5 3 2 10" xfId="1752"/>
    <cellStyle name="Normal 5 3 2 2" xfId="127"/>
    <cellStyle name="Normal 5 3 2 2 2" xfId="215"/>
    <cellStyle name="Normal 5 3 2 2 2 2" xfId="611"/>
    <cellStyle name="Normal 5 3 2 2 2 2 2" xfId="1452"/>
    <cellStyle name="Normal 5 3 2 2 2 2 2 2" xfId="3122"/>
    <cellStyle name="Normal 5 3 2 2 2 2 3" xfId="2285"/>
    <cellStyle name="Normal 5 3 2 2 2 3" xfId="845"/>
    <cellStyle name="Normal 5 3 2 2 2 3 2" xfId="1686"/>
    <cellStyle name="Normal 5 3 2 2 2 3 2 2" xfId="3356"/>
    <cellStyle name="Normal 5 3 2 2 2 3 3" xfId="2519"/>
    <cellStyle name="Normal 5 3 2 2 2 4" xfId="1062"/>
    <cellStyle name="Normal 5 3 2 2 2 4 2" xfId="2732"/>
    <cellStyle name="Normal 5 3 2 2 2 5" xfId="3565"/>
    <cellStyle name="Normal 5 3 2 2 2 6" xfId="1895"/>
    <cellStyle name="Normal 5 3 2 2 3" xfId="307"/>
    <cellStyle name="Normal 5 3 2 2 3 2" xfId="1154"/>
    <cellStyle name="Normal 5 3 2 2 3 2 2" xfId="2824"/>
    <cellStyle name="Normal 5 3 2 2 3 3" xfId="3657"/>
    <cellStyle name="Normal 5 3 2 2 3 4" xfId="1987"/>
    <cellStyle name="Normal 5 3 2 2 4" xfId="401"/>
    <cellStyle name="Normal 5 3 2 2 4 2" xfId="1246"/>
    <cellStyle name="Normal 5 3 2 2 4 2 2" xfId="2916"/>
    <cellStyle name="Normal 5 3 2 2 4 3" xfId="3749"/>
    <cellStyle name="Normal 5 3 2 2 4 4" xfId="2079"/>
    <cellStyle name="Normal 5 3 2 2 5" xfId="500"/>
    <cellStyle name="Normal 5 3 2 2 5 2" xfId="1342"/>
    <cellStyle name="Normal 5 3 2 2 5 2 2" xfId="3012"/>
    <cellStyle name="Normal 5 3 2 2 5 3" xfId="2175"/>
    <cellStyle name="Normal 5 3 2 2 6" xfId="735"/>
    <cellStyle name="Normal 5 3 2 2 6 2" xfId="1576"/>
    <cellStyle name="Normal 5 3 2 2 6 2 2" xfId="3246"/>
    <cellStyle name="Normal 5 3 2 2 6 3" xfId="2409"/>
    <cellStyle name="Normal 5 3 2 2 7" xfId="974"/>
    <cellStyle name="Normal 5 3 2 2 7 2" xfId="2644"/>
    <cellStyle name="Normal 5 3 2 2 8" xfId="3477"/>
    <cellStyle name="Normal 5 3 2 2 9" xfId="1807"/>
    <cellStyle name="Normal 5 3 2 3" xfId="179"/>
    <cellStyle name="Normal 5 3 2 3 2" xfId="559"/>
    <cellStyle name="Normal 5 3 2 3 2 2" xfId="1400"/>
    <cellStyle name="Normal 5 3 2 3 2 2 2" xfId="3070"/>
    <cellStyle name="Normal 5 3 2 3 2 3" xfId="2233"/>
    <cellStyle name="Normal 5 3 2 3 3" xfId="793"/>
    <cellStyle name="Normal 5 3 2 3 3 2" xfId="1634"/>
    <cellStyle name="Normal 5 3 2 3 3 2 2" xfId="3304"/>
    <cellStyle name="Normal 5 3 2 3 3 3" xfId="2467"/>
    <cellStyle name="Normal 5 3 2 3 4" xfId="1026"/>
    <cellStyle name="Normal 5 3 2 3 4 2" xfId="2696"/>
    <cellStyle name="Normal 5 3 2 3 5" xfId="3529"/>
    <cellStyle name="Normal 5 3 2 3 6" xfId="1859"/>
    <cellStyle name="Normal 5 3 2 4" xfId="271"/>
    <cellStyle name="Normal 5 3 2 4 2" xfId="1118"/>
    <cellStyle name="Normal 5 3 2 4 2 2" xfId="2788"/>
    <cellStyle name="Normal 5 3 2 4 3" xfId="3621"/>
    <cellStyle name="Normal 5 3 2 4 4" xfId="1951"/>
    <cellStyle name="Normal 5 3 2 5" xfId="365"/>
    <cellStyle name="Normal 5 3 2 5 2" xfId="1210"/>
    <cellStyle name="Normal 5 3 2 5 2 2" xfId="2880"/>
    <cellStyle name="Normal 5 3 2 5 3" xfId="3713"/>
    <cellStyle name="Normal 5 3 2 5 4" xfId="2043"/>
    <cellStyle name="Normal 5 3 2 6" xfId="447"/>
    <cellStyle name="Normal 5 3 2 6 2" xfId="1290"/>
    <cellStyle name="Normal 5 3 2 6 2 2" xfId="2960"/>
    <cellStyle name="Normal 5 3 2 6 3" xfId="2123"/>
    <cellStyle name="Normal 5 3 2 7" xfId="683"/>
    <cellStyle name="Normal 5 3 2 7 2" xfId="1524"/>
    <cellStyle name="Normal 5 3 2 7 2 2" xfId="3194"/>
    <cellStyle name="Normal 5 3 2 7 3" xfId="2357"/>
    <cellStyle name="Normal 5 3 2 8" xfId="919"/>
    <cellStyle name="Normal 5 3 2 8 2" xfId="2589"/>
    <cellStyle name="Normal 5 3 2 9" xfId="3422"/>
    <cellStyle name="Normal 5 3 3" xfId="126"/>
    <cellStyle name="Normal 5 3 3 2" xfId="216"/>
    <cellStyle name="Normal 5 3 3 2 2" xfId="631"/>
    <cellStyle name="Normal 5 3 3 2 2 2" xfId="865"/>
    <cellStyle name="Normal 5 3 3 2 2 2 2" xfId="1706"/>
    <cellStyle name="Normal 5 3 3 2 2 2 2 2" xfId="3376"/>
    <cellStyle name="Normal 5 3 3 2 2 2 3" xfId="2539"/>
    <cellStyle name="Normal 5 3 3 2 2 3" xfId="1472"/>
    <cellStyle name="Normal 5 3 3 2 2 3 2" xfId="3142"/>
    <cellStyle name="Normal 5 3 3 2 2 4" xfId="2305"/>
    <cellStyle name="Normal 5 3 3 2 3" xfId="520"/>
    <cellStyle name="Normal 5 3 3 2 3 2" xfId="1362"/>
    <cellStyle name="Normal 5 3 3 2 3 2 2" xfId="3032"/>
    <cellStyle name="Normal 5 3 3 2 3 3" xfId="2195"/>
    <cellStyle name="Normal 5 3 3 2 4" xfId="755"/>
    <cellStyle name="Normal 5 3 3 2 4 2" xfId="1596"/>
    <cellStyle name="Normal 5 3 3 2 4 2 2" xfId="3266"/>
    <cellStyle name="Normal 5 3 3 2 4 3" xfId="2429"/>
    <cellStyle name="Normal 5 3 3 2 5" xfId="1063"/>
    <cellStyle name="Normal 5 3 3 2 5 2" xfId="2733"/>
    <cellStyle name="Normal 5 3 3 2 6" xfId="3566"/>
    <cellStyle name="Normal 5 3 3 2 7" xfId="1896"/>
    <cellStyle name="Normal 5 3 3 3" xfId="308"/>
    <cellStyle name="Normal 5 3 3 3 2" xfId="579"/>
    <cellStyle name="Normal 5 3 3 3 2 2" xfId="1420"/>
    <cellStyle name="Normal 5 3 3 3 2 2 2" xfId="3090"/>
    <cellStyle name="Normal 5 3 3 3 2 3" xfId="2253"/>
    <cellStyle name="Normal 5 3 3 3 3" xfId="813"/>
    <cellStyle name="Normal 5 3 3 3 3 2" xfId="1654"/>
    <cellStyle name="Normal 5 3 3 3 3 2 2" xfId="3324"/>
    <cellStyle name="Normal 5 3 3 3 3 3" xfId="2487"/>
    <cellStyle name="Normal 5 3 3 3 4" xfId="1155"/>
    <cellStyle name="Normal 5 3 3 3 4 2" xfId="2825"/>
    <cellStyle name="Normal 5 3 3 3 5" xfId="3658"/>
    <cellStyle name="Normal 5 3 3 3 6" xfId="1988"/>
    <cellStyle name="Normal 5 3 3 4" xfId="402"/>
    <cellStyle name="Normal 5 3 3 4 2" xfId="1247"/>
    <cellStyle name="Normal 5 3 3 4 2 2" xfId="2917"/>
    <cellStyle name="Normal 5 3 3 4 3" xfId="3750"/>
    <cellStyle name="Normal 5 3 3 4 4" xfId="2080"/>
    <cellStyle name="Normal 5 3 3 5" xfId="468"/>
    <cellStyle name="Normal 5 3 3 5 2" xfId="1310"/>
    <cellStyle name="Normal 5 3 3 5 2 2" xfId="2980"/>
    <cellStyle name="Normal 5 3 3 5 3" xfId="2143"/>
    <cellStyle name="Normal 5 3 3 6" xfId="703"/>
    <cellStyle name="Normal 5 3 3 6 2" xfId="1544"/>
    <cellStyle name="Normal 5 3 3 6 2 2" xfId="3214"/>
    <cellStyle name="Normal 5 3 3 6 3" xfId="2377"/>
    <cellStyle name="Normal 5 3 3 7" xfId="973"/>
    <cellStyle name="Normal 5 3 3 7 2" xfId="2643"/>
    <cellStyle name="Normal 5 3 3 8" xfId="3476"/>
    <cellStyle name="Normal 5 3 3 9" xfId="1806"/>
    <cellStyle name="Normal 5 3 4" xfId="178"/>
    <cellStyle name="Normal 5 3 4 2" xfId="597"/>
    <cellStyle name="Normal 5 3 4 2 2" xfId="831"/>
    <cellStyle name="Normal 5 3 4 2 2 2" xfId="1672"/>
    <cellStyle name="Normal 5 3 4 2 2 2 2" xfId="3342"/>
    <cellStyle name="Normal 5 3 4 2 2 3" xfId="2505"/>
    <cellStyle name="Normal 5 3 4 2 3" xfId="1438"/>
    <cellStyle name="Normal 5 3 4 2 3 2" xfId="3108"/>
    <cellStyle name="Normal 5 3 4 2 4" xfId="2271"/>
    <cellStyle name="Normal 5 3 4 3" xfId="486"/>
    <cellStyle name="Normal 5 3 4 3 2" xfId="1328"/>
    <cellStyle name="Normal 5 3 4 3 2 2" xfId="2998"/>
    <cellStyle name="Normal 5 3 4 3 3" xfId="2161"/>
    <cellStyle name="Normal 5 3 4 4" xfId="721"/>
    <cellStyle name="Normal 5 3 4 4 2" xfId="1562"/>
    <cellStyle name="Normal 5 3 4 4 2 2" xfId="3232"/>
    <cellStyle name="Normal 5 3 4 4 3" xfId="2395"/>
    <cellStyle name="Normal 5 3 4 5" xfId="1025"/>
    <cellStyle name="Normal 5 3 4 5 2" xfId="2695"/>
    <cellStyle name="Normal 5 3 4 6" xfId="3528"/>
    <cellStyle name="Normal 5 3 4 7" xfId="1858"/>
    <cellStyle name="Normal 5 3 5" xfId="270"/>
    <cellStyle name="Normal 5 3 5 2" xfId="545"/>
    <cellStyle name="Normal 5 3 5 2 2" xfId="1386"/>
    <cellStyle name="Normal 5 3 5 2 2 2" xfId="3056"/>
    <cellStyle name="Normal 5 3 5 2 3" xfId="2219"/>
    <cellStyle name="Normal 5 3 5 3" xfId="779"/>
    <cellStyle name="Normal 5 3 5 3 2" xfId="1620"/>
    <cellStyle name="Normal 5 3 5 3 2 2" xfId="3290"/>
    <cellStyle name="Normal 5 3 5 3 3" xfId="2453"/>
    <cellStyle name="Normal 5 3 5 4" xfId="1117"/>
    <cellStyle name="Normal 5 3 5 4 2" xfId="2787"/>
    <cellStyle name="Normal 5 3 5 5" xfId="3620"/>
    <cellStyle name="Normal 5 3 5 6" xfId="1950"/>
    <cellStyle name="Normal 5 3 6" xfId="364"/>
    <cellStyle name="Normal 5 3 6 2" xfId="1209"/>
    <cellStyle name="Normal 5 3 6 2 2" xfId="2879"/>
    <cellStyle name="Normal 5 3 6 3" xfId="3712"/>
    <cellStyle name="Normal 5 3 6 4" xfId="2042"/>
    <cellStyle name="Normal 5 3 7" xfId="433"/>
    <cellStyle name="Normal 5 3 7 2" xfId="1276"/>
    <cellStyle name="Normal 5 3 7 2 2" xfId="2946"/>
    <cellStyle name="Normal 5 3 7 3" xfId="2109"/>
    <cellStyle name="Normal 5 3 8" xfId="669"/>
    <cellStyle name="Normal 5 3 8 2" xfId="1510"/>
    <cellStyle name="Normal 5 3 8 2 2" xfId="3180"/>
    <cellStyle name="Normal 5 3 8 3" xfId="2343"/>
    <cellStyle name="Normal 5 3 9" xfId="908"/>
    <cellStyle name="Normal 5 3 9 2" xfId="2578"/>
    <cellStyle name="Normal 5 4" xfId="24"/>
    <cellStyle name="Normal 5 4 10" xfId="1738"/>
    <cellStyle name="Normal 5 4 2" xfId="128"/>
    <cellStyle name="Normal 5 4 2 2" xfId="217"/>
    <cellStyle name="Normal 5 4 2 2 2" xfId="628"/>
    <cellStyle name="Normal 5 4 2 2 2 2" xfId="862"/>
    <cellStyle name="Normal 5 4 2 2 2 2 2" xfId="1703"/>
    <cellStyle name="Normal 5 4 2 2 2 2 2 2" xfId="3373"/>
    <cellStyle name="Normal 5 4 2 2 2 2 3" xfId="2536"/>
    <cellStyle name="Normal 5 4 2 2 2 3" xfId="1469"/>
    <cellStyle name="Normal 5 4 2 2 2 3 2" xfId="3139"/>
    <cellStyle name="Normal 5 4 2 2 2 4" xfId="2302"/>
    <cellStyle name="Normal 5 4 2 2 3" xfId="517"/>
    <cellStyle name="Normal 5 4 2 2 3 2" xfId="1359"/>
    <cellStyle name="Normal 5 4 2 2 3 2 2" xfId="3029"/>
    <cellStyle name="Normal 5 4 2 2 3 3" xfId="2192"/>
    <cellStyle name="Normal 5 4 2 2 4" xfId="752"/>
    <cellStyle name="Normal 5 4 2 2 4 2" xfId="1593"/>
    <cellStyle name="Normal 5 4 2 2 4 2 2" xfId="3263"/>
    <cellStyle name="Normal 5 4 2 2 4 3" xfId="2426"/>
    <cellStyle name="Normal 5 4 2 2 5" xfId="1064"/>
    <cellStyle name="Normal 5 4 2 2 5 2" xfId="2734"/>
    <cellStyle name="Normal 5 4 2 2 6" xfId="3567"/>
    <cellStyle name="Normal 5 4 2 2 7" xfId="1897"/>
    <cellStyle name="Normal 5 4 2 3" xfId="309"/>
    <cellStyle name="Normal 5 4 2 3 2" xfId="576"/>
    <cellStyle name="Normal 5 4 2 3 2 2" xfId="1417"/>
    <cellStyle name="Normal 5 4 2 3 2 2 2" xfId="3087"/>
    <cellStyle name="Normal 5 4 2 3 2 3" xfId="2250"/>
    <cellStyle name="Normal 5 4 2 3 3" xfId="810"/>
    <cellStyle name="Normal 5 4 2 3 3 2" xfId="1651"/>
    <cellStyle name="Normal 5 4 2 3 3 2 2" xfId="3321"/>
    <cellStyle name="Normal 5 4 2 3 3 3" xfId="2484"/>
    <cellStyle name="Normal 5 4 2 3 4" xfId="1156"/>
    <cellStyle name="Normal 5 4 2 3 4 2" xfId="2826"/>
    <cellStyle name="Normal 5 4 2 3 5" xfId="3659"/>
    <cellStyle name="Normal 5 4 2 3 6" xfId="1989"/>
    <cellStyle name="Normal 5 4 2 4" xfId="403"/>
    <cellStyle name="Normal 5 4 2 4 2" xfId="1248"/>
    <cellStyle name="Normal 5 4 2 4 2 2" xfId="2918"/>
    <cellStyle name="Normal 5 4 2 4 3" xfId="3751"/>
    <cellStyle name="Normal 5 4 2 4 4" xfId="2081"/>
    <cellStyle name="Normal 5 4 2 5" xfId="465"/>
    <cellStyle name="Normal 5 4 2 5 2" xfId="1307"/>
    <cellStyle name="Normal 5 4 2 5 2 2" xfId="2977"/>
    <cellStyle name="Normal 5 4 2 5 3" xfId="2140"/>
    <cellStyle name="Normal 5 4 2 6" xfId="700"/>
    <cellStyle name="Normal 5 4 2 6 2" xfId="1541"/>
    <cellStyle name="Normal 5 4 2 6 2 2" xfId="3211"/>
    <cellStyle name="Normal 5 4 2 6 3" xfId="2374"/>
    <cellStyle name="Normal 5 4 2 7" xfId="975"/>
    <cellStyle name="Normal 5 4 2 7 2" xfId="2645"/>
    <cellStyle name="Normal 5 4 2 8" xfId="3478"/>
    <cellStyle name="Normal 5 4 2 9" xfId="1808"/>
    <cellStyle name="Normal 5 4 3" xfId="180"/>
    <cellStyle name="Normal 5 4 3 2" xfId="594"/>
    <cellStyle name="Normal 5 4 3 2 2" xfId="828"/>
    <cellStyle name="Normal 5 4 3 2 2 2" xfId="1669"/>
    <cellStyle name="Normal 5 4 3 2 2 2 2" xfId="3339"/>
    <cellStyle name="Normal 5 4 3 2 2 3" xfId="2502"/>
    <cellStyle name="Normal 5 4 3 2 3" xfId="1435"/>
    <cellStyle name="Normal 5 4 3 2 3 2" xfId="3105"/>
    <cellStyle name="Normal 5 4 3 2 4" xfId="2268"/>
    <cellStyle name="Normal 5 4 3 3" xfId="483"/>
    <cellStyle name="Normal 5 4 3 3 2" xfId="1325"/>
    <cellStyle name="Normal 5 4 3 3 2 2" xfId="2995"/>
    <cellStyle name="Normal 5 4 3 3 3" xfId="2158"/>
    <cellStyle name="Normal 5 4 3 4" xfId="718"/>
    <cellStyle name="Normal 5 4 3 4 2" xfId="1559"/>
    <cellStyle name="Normal 5 4 3 4 2 2" xfId="3229"/>
    <cellStyle name="Normal 5 4 3 4 3" xfId="2392"/>
    <cellStyle name="Normal 5 4 3 5" xfId="1027"/>
    <cellStyle name="Normal 5 4 3 5 2" xfId="2697"/>
    <cellStyle name="Normal 5 4 3 6" xfId="3530"/>
    <cellStyle name="Normal 5 4 3 7" xfId="1860"/>
    <cellStyle name="Normal 5 4 4" xfId="272"/>
    <cellStyle name="Normal 5 4 4 2" xfId="542"/>
    <cellStyle name="Normal 5 4 4 2 2" xfId="1383"/>
    <cellStyle name="Normal 5 4 4 2 2 2" xfId="3053"/>
    <cellStyle name="Normal 5 4 4 2 3" xfId="2216"/>
    <cellStyle name="Normal 5 4 4 3" xfId="776"/>
    <cellStyle name="Normal 5 4 4 3 2" xfId="1617"/>
    <cellStyle name="Normal 5 4 4 3 2 2" xfId="3287"/>
    <cellStyle name="Normal 5 4 4 3 3" xfId="2450"/>
    <cellStyle name="Normal 5 4 4 4" xfId="1119"/>
    <cellStyle name="Normal 5 4 4 4 2" xfId="2789"/>
    <cellStyle name="Normal 5 4 4 5" xfId="3622"/>
    <cellStyle name="Normal 5 4 4 6" xfId="1952"/>
    <cellStyle name="Normal 5 4 5" xfId="366"/>
    <cellStyle name="Normal 5 4 5 2" xfId="1211"/>
    <cellStyle name="Normal 5 4 5 2 2" xfId="2881"/>
    <cellStyle name="Normal 5 4 5 3" xfId="3714"/>
    <cellStyle name="Normal 5 4 5 4" xfId="2044"/>
    <cellStyle name="Normal 5 4 6" xfId="430"/>
    <cellStyle name="Normal 5 4 6 2" xfId="1273"/>
    <cellStyle name="Normal 5 4 6 2 2" xfId="2943"/>
    <cellStyle name="Normal 5 4 6 3" xfId="2106"/>
    <cellStyle name="Normal 5 4 7" xfId="666"/>
    <cellStyle name="Normal 5 4 7 2" xfId="1507"/>
    <cellStyle name="Normal 5 4 7 2 2" xfId="3177"/>
    <cellStyle name="Normal 5 4 7 3" xfId="2340"/>
    <cellStyle name="Normal 5 4 8" xfId="905"/>
    <cellStyle name="Normal 5 4 8 2" xfId="2575"/>
    <cellStyle name="Normal 5 4 9" xfId="3408"/>
    <cellStyle name="Normal 5 5" xfId="37"/>
    <cellStyle name="Normal 5 5 10" xfId="1749"/>
    <cellStyle name="Normal 5 5 2" xfId="129"/>
    <cellStyle name="Normal 5 5 2 2" xfId="218"/>
    <cellStyle name="Normal 5 5 2 2 2" xfId="608"/>
    <cellStyle name="Normal 5 5 2 2 2 2" xfId="1449"/>
    <cellStyle name="Normal 5 5 2 2 2 2 2" xfId="3119"/>
    <cellStyle name="Normal 5 5 2 2 2 3" xfId="2282"/>
    <cellStyle name="Normal 5 5 2 2 3" xfId="842"/>
    <cellStyle name="Normal 5 5 2 2 3 2" xfId="1683"/>
    <cellStyle name="Normal 5 5 2 2 3 2 2" xfId="3353"/>
    <cellStyle name="Normal 5 5 2 2 3 3" xfId="2516"/>
    <cellStyle name="Normal 5 5 2 2 4" xfId="1065"/>
    <cellStyle name="Normal 5 5 2 2 4 2" xfId="2735"/>
    <cellStyle name="Normal 5 5 2 2 5" xfId="3568"/>
    <cellStyle name="Normal 5 5 2 2 6" xfId="1898"/>
    <cellStyle name="Normal 5 5 2 3" xfId="310"/>
    <cellStyle name="Normal 5 5 2 3 2" xfId="1157"/>
    <cellStyle name="Normal 5 5 2 3 2 2" xfId="2827"/>
    <cellStyle name="Normal 5 5 2 3 3" xfId="3660"/>
    <cellStyle name="Normal 5 5 2 3 4" xfId="1990"/>
    <cellStyle name="Normal 5 5 2 4" xfId="404"/>
    <cellStyle name="Normal 5 5 2 4 2" xfId="1249"/>
    <cellStyle name="Normal 5 5 2 4 2 2" xfId="2919"/>
    <cellStyle name="Normal 5 5 2 4 3" xfId="3752"/>
    <cellStyle name="Normal 5 5 2 4 4" xfId="2082"/>
    <cellStyle name="Normal 5 5 2 5" xfId="497"/>
    <cellStyle name="Normal 5 5 2 5 2" xfId="1339"/>
    <cellStyle name="Normal 5 5 2 5 2 2" xfId="3009"/>
    <cellStyle name="Normal 5 5 2 5 3" xfId="2172"/>
    <cellStyle name="Normal 5 5 2 6" xfId="732"/>
    <cellStyle name="Normal 5 5 2 6 2" xfId="1573"/>
    <cellStyle name="Normal 5 5 2 6 2 2" xfId="3243"/>
    <cellStyle name="Normal 5 5 2 6 3" xfId="2406"/>
    <cellStyle name="Normal 5 5 2 7" xfId="976"/>
    <cellStyle name="Normal 5 5 2 7 2" xfId="2646"/>
    <cellStyle name="Normal 5 5 2 8" xfId="3479"/>
    <cellStyle name="Normal 5 5 2 9" xfId="1809"/>
    <cellStyle name="Normal 5 5 3" xfId="181"/>
    <cellStyle name="Normal 5 5 3 2" xfId="556"/>
    <cellStyle name="Normal 5 5 3 2 2" xfId="1397"/>
    <cellStyle name="Normal 5 5 3 2 2 2" xfId="3067"/>
    <cellStyle name="Normal 5 5 3 2 3" xfId="2230"/>
    <cellStyle name="Normal 5 5 3 3" xfId="790"/>
    <cellStyle name="Normal 5 5 3 3 2" xfId="1631"/>
    <cellStyle name="Normal 5 5 3 3 2 2" xfId="3301"/>
    <cellStyle name="Normal 5 5 3 3 3" xfId="2464"/>
    <cellStyle name="Normal 5 5 3 4" xfId="1028"/>
    <cellStyle name="Normal 5 5 3 4 2" xfId="2698"/>
    <cellStyle name="Normal 5 5 3 5" xfId="3531"/>
    <cellStyle name="Normal 5 5 3 6" xfId="1861"/>
    <cellStyle name="Normal 5 5 4" xfId="273"/>
    <cellStyle name="Normal 5 5 4 2" xfId="1120"/>
    <cellStyle name="Normal 5 5 4 2 2" xfId="2790"/>
    <cellStyle name="Normal 5 5 4 3" xfId="3623"/>
    <cellStyle name="Normal 5 5 4 4" xfId="1953"/>
    <cellStyle name="Normal 5 5 5" xfId="367"/>
    <cellStyle name="Normal 5 5 5 2" xfId="1212"/>
    <cellStyle name="Normal 5 5 5 2 2" xfId="2882"/>
    <cellStyle name="Normal 5 5 5 3" xfId="3715"/>
    <cellStyle name="Normal 5 5 5 4" xfId="2045"/>
    <cellStyle name="Normal 5 5 6" xfId="444"/>
    <cellStyle name="Normal 5 5 6 2" xfId="1287"/>
    <cellStyle name="Normal 5 5 6 2 2" xfId="2957"/>
    <cellStyle name="Normal 5 5 6 3" xfId="2120"/>
    <cellStyle name="Normal 5 5 7" xfId="680"/>
    <cellStyle name="Normal 5 5 7 2" xfId="1521"/>
    <cellStyle name="Normal 5 5 7 2 2" xfId="3191"/>
    <cellStyle name="Normal 5 5 7 3" xfId="2354"/>
    <cellStyle name="Normal 5 5 8" xfId="916"/>
    <cellStyle name="Normal 5 5 8 2" xfId="2586"/>
    <cellStyle name="Normal 5 5 9" xfId="3419"/>
    <cellStyle name="Normal 5 6" xfId="122"/>
    <cellStyle name="Normal 5 6 2" xfId="219"/>
    <cellStyle name="Normal 5 6 2 2" xfId="623"/>
    <cellStyle name="Normal 5 6 2 2 2" xfId="857"/>
    <cellStyle name="Normal 5 6 2 2 2 2" xfId="1698"/>
    <cellStyle name="Normal 5 6 2 2 2 2 2" xfId="3368"/>
    <cellStyle name="Normal 5 6 2 2 2 3" xfId="2531"/>
    <cellStyle name="Normal 5 6 2 2 3" xfId="1464"/>
    <cellStyle name="Normal 5 6 2 2 3 2" xfId="3134"/>
    <cellStyle name="Normal 5 6 2 2 4" xfId="2297"/>
    <cellStyle name="Normal 5 6 2 3" xfId="512"/>
    <cellStyle name="Normal 5 6 2 3 2" xfId="1354"/>
    <cellStyle name="Normal 5 6 2 3 2 2" xfId="3024"/>
    <cellStyle name="Normal 5 6 2 3 3" xfId="2187"/>
    <cellStyle name="Normal 5 6 2 4" xfId="747"/>
    <cellStyle name="Normal 5 6 2 4 2" xfId="1588"/>
    <cellStyle name="Normal 5 6 2 4 2 2" xfId="3258"/>
    <cellStyle name="Normal 5 6 2 4 3" xfId="2421"/>
    <cellStyle name="Normal 5 6 2 5" xfId="1066"/>
    <cellStyle name="Normal 5 6 2 5 2" xfId="2736"/>
    <cellStyle name="Normal 5 6 2 6" xfId="3569"/>
    <cellStyle name="Normal 5 6 2 7" xfId="1899"/>
    <cellStyle name="Normal 5 6 3" xfId="311"/>
    <cellStyle name="Normal 5 6 3 2" xfId="571"/>
    <cellStyle name="Normal 5 6 3 2 2" xfId="1412"/>
    <cellStyle name="Normal 5 6 3 2 2 2" xfId="3082"/>
    <cellStyle name="Normal 5 6 3 2 3" xfId="2245"/>
    <cellStyle name="Normal 5 6 3 3" xfId="805"/>
    <cellStyle name="Normal 5 6 3 3 2" xfId="1646"/>
    <cellStyle name="Normal 5 6 3 3 2 2" xfId="3316"/>
    <cellStyle name="Normal 5 6 3 3 3" xfId="2479"/>
    <cellStyle name="Normal 5 6 3 4" xfId="1158"/>
    <cellStyle name="Normal 5 6 3 4 2" xfId="2828"/>
    <cellStyle name="Normal 5 6 3 5" xfId="3661"/>
    <cellStyle name="Normal 5 6 3 6" xfId="1991"/>
    <cellStyle name="Normal 5 6 4" xfId="405"/>
    <cellStyle name="Normal 5 6 4 2" xfId="1250"/>
    <cellStyle name="Normal 5 6 4 2 2" xfId="2920"/>
    <cellStyle name="Normal 5 6 4 3" xfId="3753"/>
    <cellStyle name="Normal 5 6 4 4" xfId="2083"/>
    <cellStyle name="Normal 5 6 5" xfId="460"/>
    <cellStyle name="Normal 5 6 5 2" xfId="1302"/>
    <cellStyle name="Normal 5 6 5 2 2" xfId="2972"/>
    <cellStyle name="Normal 5 6 5 3" xfId="2135"/>
    <cellStyle name="Normal 5 6 6" xfId="695"/>
    <cellStyle name="Normal 5 6 6 2" xfId="1536"/>
    <cellStyle name="Normal 5 6 6 2 2" xfId="3206"/>
    <cellStyle name="Normal 5 6 6 3" xfId="2369"/>
    <cellStyle name="Normal 5 6 7" xfId="969"/>
    <cellStyle name="Normal 5 6 7 2" xfId="2639"/>
    <cellStyle name="Normal 5 6 8" xfId="3472"/>
    <cellStyle name="Normal 5 6 9" xfId="1802"/>
    <cellStyle name="Normal 5 7" xfId="174"/>
    <cellStyle name="Normal 5 7 2" xfId="589"/>
    <cellStyle name="Normal 5 7 2 2" xfId="823"/>
    <cellStyle name="Normal 5 7 2 2 2" xfId="1664"/>
    <cellStyle name="Normal 5 7 2 2 2 2" xfId="3334"/>
    <cellStyle name="Normal 5 7 2 2 3" xfId="2497"/>
    <cellStyle name="Normal 5 7 2 3" xfId="1430"/>
    <cellStyle name="Normal 5 7 2 3 2" xfId="3100"/>
    <cellStyle name="Normal 5 7 2 4" xfId="2263"/>
    <cellStyle name="Normal 5 7 3" xfId="478"/>
    <cellStyle name="Normal 5 7 3 2" xfId="1320"/>
    <cellStyle name="Normal 5 7 3 2 2" xfId="2990"/>
    <cellStyle name="Normal 5 7 3 3" xfId="2153"/>
    <cellStyle name="Normal 5 7 4" xfId="713"/>
    <cellStyle name="Normal 5 7 4 2" xfId="1554"/>
    <cellStyle name="Normal 5 7 4 2 2" xfId="3224"/>
    <cellStyle name="Normal 5 7 4 3" xfId="2387"/>
    <cellStyle name="Normal 5 7 5" xfId="1021"/>
    <cellStyle name="Normal 5 7 5 2" xfId="2691"/>
    <cellStyle name="Normal 5 7 6" xfId="3524"/>
    <cellStyle name="Normal 5 7 7" xfId="1854"/>
    <cellStyle name="Normal 5 8" xfId="266"/>
    <cellStyle name="Normal 5 8 2" xfId="537"/>
    <cellStyle name="Normal 5 8 2 2" xfId="771"/>
    <cellStyle name="Normal 5 8 2 2 2" xfId="1612"/>
    <cellStyle name="Normal 5 8 2 2 2 2" xfId="3282"/>
    <cellStyle name="Normal 5 8 2 2 3" xfId="2445"/>
    <cellStyle name="Normal 5 8 2 3" xfId="1378"/>
    <cellStyle name="Normal 5 8 2 3 2" xfId="3048"/>
    <cellStyle name="Normal 5 8 2 4" xfId="2211"/>
    <cellStyle name="Normal 5 8 3" xfId="425"/>
    <cellStyle name="Normal 5 8 3 2" xfId="1268"/>
    <cellStyle name="Normal 5 8 3 2 2" xfId="2938"/>
    <cellStyle name="Normal 5 8 3 3" xfId="2101"/>
    <cellStyle name="Normal 5 8 4" xfId="661"/>
    <cellStyle name="Normal 5 8 4 2" xfId="1502"/>
    <cellStyle name="Normal 5 8 4 2 2" xfId="3172"/>
    <cellStyle name="Normal 5 8 4 3" xfId="2335"/>
    <cellStyle name="Normal 5 8 5" xfId="1113"/>
    <cellStyle name="Normal 5 8 5 2" xfId="2783"/>
    <cellStyle name="Normal 5 8 6" xfId="3616"/>
    <cellStyle name="Normal 5 8 7" xfId="1946"/>
    <cellStyle name="Normal 5 9" xfId="360"/>
    <cellStyle name="Normal 5 9 2" xfId="534"/>
    <cellStyle name="Normal 5 9 2 2" xfId="1375"/>
    <cellStyle name="Normal 5 9 2 2 2" xfId="3045"/>
    <cellStyle name="Normal 5 9 2 3" xfId="2208"/>
    <cellStyle name="Normal 5 9 3" xfId="768"/>
    <cellStyle name="Normal 5 9 3 2" xfId="1609"/>
    <cellStyle name="Normal 5 9 3 2 2" xfId="3279"/>
    <cellStyle name="Normal 5 9 3 3" xfId="2442"/>
    <cellStyle name="Normal 5 9 4" xfId="1205"/>
    <cellStyle name="Normal 5 9 4 2" xfId="2875"/>
    <cellStyle name="Normal 5 9 5" xfId="3708"/>
    <cellStyle name="Normal 5 9 6" xfId="2038"/>
    <cellStyle name="Normal 6" xfId="13"/>
    <cellStyle name="Normal 6 2" xfId="21"/>
    <cellStyle name="Normal 7" xfId="34"/>
    <cellStyle name="Normal 7 10" xfId="913"/>
    <cellStyle name="Normal 7 10 2" xfId="2583"/>
    <cellStyle name="Normal 7 11" xfId="3416"/>
    <cellStyle name="Normal 7 12" xfId="1746"/>
    <cellStyle name="Normal 7 2" xfId="45"/>
    <cellStyle name="Normal 7 2 10" xfId="1757"/>
    <cellStyle name="Normal 7 2 2" xfId="131"/>
    <cellStyle name="Normal 7 2 2 2" xfId="220"/>
    <cellStyle name="Normal 7 2 2 2 2" xfId="616"/>
    <cellStyle name="Normal 7 2 2 2 2 2" xfId="1457"/>
    <cellStyle name="Normal 7 2 2 2 2 2 2" xfId="3127"/>
    <cellStyle name="Normal 7 2 2 2 2 3" xfId="2290"/>
    <cellStyle name="Normal 7 2 2 2 3" xfId="850"/>
    <cellStyle name="Normal 7 2 2 2 3 2" xfId="1691"/>
    <cellStyle name="Normal 7 2 2 2 3 2 2" xfId="3361"/>
    <cellStyle name="Normal 7 2 2 2 3 3" xfId="2524"/>
    <cellStyle name="Normal 7 2 2 2 4" xfId="1067"/>
    <cellStyle name="Normal 7 2 2 2 4 2" xfId="2737"/>
    <cellStyle name="Normal 7 2 2 2 5" xfId="3570"/>
    <cellStyle name="Normal 7 2 2 2 6" xfId="1900"/>
    <cellStyle name="Normal 7 2 2 3" xfId="312"/>
    <cellStyle name="Normal 7 2 2 3 2" xfId="1159"/>
    <cellStyle name="Normal 7 2 2 3 2 2" xfId="2829"/>
    <cellStyle name="Normal 7 2 2 3 3" xfId="3662"/>
    <cellStyle name="Normal 7 2 2 3 4" xfId="1992"/>
    <cellStyle name="Normal 7 2 2 4" xfId="406"/>
    <cellStyle name="Normal 7 2 2 4 2" xfId="1251"/>
    <cellStyle name="Normal 7 2 2 4 2 2" xfId="2921"/>
    <cellStyle name="Normal 7 2 2 4 3" xfId="3754"/>
    <cellStyle name="Normal 7 2 2 4 4" xfId="2084"/>
    <cellStyle name="Normal 7 2 2 5" xfId="505"/>
    <cellStyle name="Normal 7 2 2 5 2" xfId="1347"/>
    <cellStyle name="Normal 7 2 2 5 2 2" xfId="3017"/>
    <cellStyle name="Normal 7 2 2 5 3" xfId="2180"/>
    <cellStyle name="Normal 7 2 2 6" xfId="740"/>
    <cellStyle name="Normal 7 2 2 6 2" xfId="1581"/>
    <cellStyle name="Normal 7 2 2 6 2 2" xfId="3251"/>
    <cellStyle name="Normal 7 2 2 6 3" xfId="2414"/>
    <cellStyle name="Normal 7 2 2 7" xfId="978"/>
    <cellStyle name="Normal 7 2 2 7 2" xfId="2648"/>
    <cellStyle name="Normal 7 2 2 8" xfId="3481"/>
    <cellStyle name="Normal 7 2 2 9" xfId="1811"/>
    <cellStyle name="Normal 7 2 3" xfId="183"/>
    <cellStyle name="Normal 7 2 3 2" xfId="564"/>
    <cellStyle name="Normal 7 2 3 2 2" xfId="1405"/>
    <cellStyle name="Normal 7 2 3 2 2 2" xfId="3075"/>
    <cellStyle name="Normal 7 2 3 2 3" xfId="2238"/>
    <cellStyle name="Normal 7 2 3 3" xfId="798"/>
    <cellStyle name="Normal 7 2 3 3 2" xfId="1639"/>
    <cellStyle name="Normal 7 2 3 3 2 2" xfId="3309"/>
    <cellStyle name="Normal 7 2 3 3 3" xfId="2472"/>
    <cellStyle name="Normal 7 2 3 4" xfId="1030"/>
    <cellStyle name="Normal 7 2 3 4 2" xfId="2700"/>
    <cellStyle name="Normal 7 2 3 5" xfId="3533"/>
    <cellStyle name="Normal 7 2 3 6" xfId="1863"/>
    <cellStyle name="Normal 7 2 4" xfId="275"/>
    <cellStyle name="Normal 7 2 4 2" xfId="1122"/>
    <cellStyle name="Normal 7 2 4 2 2" xfId="2792"/>
    <cellStyle name="Normal 7 2 4 3" xfId="3625"/>
    <cellStyle name="Normal 7 2 4 4" xfId="1955"/>
    <cellStyle name="Normal 7 2 5" xfId="369"/>
    <cellStyle name="Normal 7 2 5 2" xfId="1214"/>
    <cellStyle name="Normal 7 2 5 2 2" xfId="2884"/>
    <cellStyle name="Normal 7 2 5 3" xfId="3717"/>
    <cellStyle name="Normal 7 2 5 4" xfId="2047"/>
    <cellStyle name="Normal 7 2 6" xfId="452"/>
    <cellStyle name="Normal 7 2 6 2" xfId="1295"/>
    <cellStyle name="Normal 7 2 6 2 2" xfId="2965"/>
    <cellStyle name="Normal 7 2 6 3" xfId="2128"/>
    <cellStyle name="Normal 7 2 7" xfId="688"/>
    <cellStyle name="Normal 7 2 7 2" xfId="1529"/>
    <cellStyle name="Normal 7 2 7 2 2" xfId="3199"/>
    <cellStyle name="Normal 7 2 7 3" xfId="2362"/>
    <cellStyle name="Normal 7 2 8" xfId="924"/>
    <cellStyle name="Normal 7 2 8 2" xfId="2594"/>
    <cellStyle name="Normal 7 2 9" xfId="3427"/>
    <cellStyle name="Normal 7 3" xfId="130"/>
    <cellStyle name="Normal 7 3 2" xfId="221"/>
    <cellStyle name="Normal 7 3 2 2" xfId="636"/>
    <cellStyle name="Normal 7 3 2 2 2" xfId="870"/>
    <cellStyle name="Normal 7 3 2 2 2 2" xfId="1711"/>
    <cellStyle name="Normal 7 3 2 2 2 2 2" xfId="3381"/>
    <cellStyle name="Normal 7 3 2 2 2 3" xfId="2544"/>
    <cellStyle name="Normal 7 3 2 2 3" xfId="1477"/>
    <cellStyle name="Normal 7 3 2 2 3 2" xfId="3147"/>
    <cellStyle name="Normal 7 3 2 2 4" xfId="2310"/>
    <cellStyle name="Normal 7 3 2 3" xfId="525"/>
    <cellStyle name="Normal 7 3 2 3 2" xfId="1367"/>
    <cellStyle name="Normal 7 3 2 3 2 2" xfId="3037"/>
    <cellStyle name="Normal 7 3 2 3 3" xfId="2200"/>
    <cellStyle name="Normal 7 3 2 4" xfId="760"/>
    <cellStyle name="Normal 7 3 2 4 2" xfId="1601"/>
    <cellStyle name="Normal 7 3 2 4 2 2" xfId="3271"/>
    <cellStyle name="Normal 7 3 2 4 3" xfId="2434"/>
    <cellStyle name="Normal 7 3 2 5" xfId="1068"/>
    <cellStyle name="Normal 7 3 2 5 2" xfId="2738"/>
    <cellStyle name="Normal 7 3 2 6" xfId="3571"/>
    <cellStyle name="Normal 7 3 2 7" xfId="1901"/>
    <cellStyle name="Normal 7 3 3" xfId="313"/>
    <cellStyle name="Normal 7 3 3 2" xfId="584"/>
    <cellStyle name="Normal 7 3 3 2 2" xfId="1425"/>
    <cellStyle name="Normal 7 3 3 2 2 2" xfId="3095"/>
    <cellStyle name="Normal 7 3 3 2 3" xfId="2258"/>
    <cellStyle name="Normal 7 3 3 3" xfId="818"/>
    <cellStyle name="Normal 7 3 3 3 2" xfId="1659"/>
    <cellStyle name="Normal 7 3 3 3 2 2" xfId="3329"/>
    <cellStyle name="Normal 7 3 3 3 3" xfId="2492"/>
    <cellStyle name="Normal 7 3 3 4" xfId="1160"/>
    <cellStyle name="Normal 7 3 3 4 2" xfId="2830"/>
    <cellStyle name="Normal 7 3 3 5" xfId="3663"/>
    <cellStyle name="Normal 7 3 3 6" xfId="1993"/>
    <cellStyle name="Normal 7 3 4" xfId="407"/>
    <cellStyle name="Normal 7 3 4 2" xfId="1252"/>
    <cellStyle name="Normal 7 3 4 2 2" xfId="2922"/>
    <cellStyle name="Normal 7 3 4 3" xfId="3755"/>
    <cellStyle name="Normal 7 3 4 4" xfId="2085"/>
    <cellStyle name="Normal 7 3 5" xfId="473"/>
    <cellStyle name="Normal 7 3 5 2" xfId="1315"/>
    <cellStyle name="Normal 7 3 5 2 2" xfId="2985"/>
    <cellStyle name="Normal 7 3 5 3" xfId="2148"/>
    <cellStyle name="Normal 7 3 6" xfId="708"/>
    <cellStyle name="Normal 7 3 6 2" xfId="1549"/>
    <cellStyle name="Normal 7 3 6 2 2" xfId="3219"/>
    <cellStyle name="Normal 7 3 6 3" xfId="2382"/>
    <cellStyle name="Normal 7 3 7" xfId="977"/>
    <cellStyle name="Normal 7 3 7 2" xfId="2647"/>
    <cellStyle name="Normal 7 3 8" xfId="3480"/>
    <cellStyle name="Normal 7 3 9" xfId="1810"/>
    <cellStyle name="Normal 7 4" xfId="182"/>
    <cellStyle name="Normal 7 4 2" xfId="602"/>
    <cellStyle name="Normal 7 4 2 2" xfId="836"/>
    <cellStyle name="Normal 7 4 2 2 2" xfId="1677"/>
    <cellStyle name="Normal 7 4 2 2 2 2" xfId="3347"/>
    <cellStyle name="Normal 7 4 2 2 3" xfId="2510"/>
    <cellStyle name="Normal 7 4 2 3" xfId="1443"/>
    <cellStyle name="Normal 7 4 2 3 2" xfId="3113"/>
    <cellStyle name="Normal 7 4 2 4" xfId="2276"/>
    <cellStyle name="Normal 7 4 3" xfId="491"/>
    <cellStyle name="Normal 7 4 3 2" xfId="1333"/>
    <cellStyle name="Normal 7 4 3 2 2" xfId="3003"/>
    <cellStyle name="Normal 7 4 3 3" xfId="2166"/>
    <cellStyle name="Normal 7 4 4" xfId="726"/>
    <cellStyle name="Normal 7 4 4 2" xfId="1567"/>
    <cellStyle name="Normal 7 4 4 2 2" xfId="3237"/>
    <cellStyle name="Normal 7 4 4 3" xfId="2400"/>
    <cellStyle name="Normal 7 4 5" xfId="1029"/>
    <cellStyle name="Normal 7 4 5 2" xfId="2699"/>
    <cellStyle name="Normal 7 4 6" xfId="3532"/>
    <cellStyle name="Normal 7 4 7" xfId="1862"/>
    <cellStyle name="Normal 7 5" xfId="274"/>
    <cellStyle name="Normal 7 5 2" xfId="550"/>
    <cellStyle name="Normal 7 5 2 2" xfId="1391"/>
    <cellStyle name="Normal 7 5 2 2 2" xfId="3061"/>
    <cellStyle name="Normal 7 5 2 3" xfId="2224"/>
    <cellStyle name="Normal 7 5 3" xfId="784"/>
    <cellStyle name="Normal 7 5 3 2" xfId="1625"/>
    <cellStyle name="Normal 7 5 3 2 2" xfId="3295"/>
    <cellStyle name="Normal 7 5 3 3" xfId="2458"/>
    <cellStyle name="Normal 7 5 4" xfId="1121"/>
    <cellStyle name="Normal 7 5 4 2" xfId="2791"/>
    <cellStyle name="Normal 7 5 5" xfId="3624"/>
    <cellStyle name="Normal 7 5 6" xfId="1954"/>
    <cellStyle name="Normal 7 6" xfId="368"/>
    <cellStyle name="Normal 7 6 2" xfId="1213"/>
    <cellStyle name="Normal 7 6 2 2" xfId="2883"/>
    <cellStyle name="Normal 7 6 3" xfId="3716"/>
    <cellStyle name="Normal 7 6 4" xfId="2046"/>
    <cellStyle name="Normal 7 7" xfId="438"/>
    <cellStyle name="Normal 7 7 2" xfId="1281"/>
    <cellStyle name="Normal 7 7 2 2" xfId="2951"/>
    <cellStyle name="Normal 7 7 3" xfId="2114"/>
    <cellStyle name="Normal 7 8" xfId="674"/>
    <cellStyle name="Normal 7 8 2" xfId="1515"/>
    <cellStyle name="Normal 7 8 2 2" xfId="3185"/>
    <cellStyle name="Normal 7 8 3" xfId="2348"/>
    <cellStyle name="Normal 7 9" xfId="893"/>
    <cellStyle name="Normal 8" xfId="48"/>
    <cellStyle name="Normal 8 10" xfId="1760"/>
    <cellStyle name="Normal 8 2" xfId="132"/>
    <cellStyle name="Normal 8 2 2" xfId="222"/>
    <cellStyle name="Normal 8 2 2 2" xfId="619"/>
    <cellStyle name="Normal 8 2 2 2 2" xfId="853"/>
    <cellStyle name="Normal 8 2 2 2 2 2" xfId="1694"/>
    <cellStyle name="Normal 8 2 2 2 2 2 2" xfId="3364"/>
    <cellStyle name="Normal 8 2 2 2 2 3" xfId="2527"/>
    <cellStyle name="Normal 8 2 2 2 3" xfId="1460"/>
    <cellStyle name="Normal 8 2 2 2 3 2" xfId="3130"/>
    <cellStyle name="Normal 8 2 2 2 4" xfId="2293"/>
    <cellStyle name="Normal 8 2 2 3" xfId="508"/>
    <cellStyle name="Normal 8 2 2 3 2" xfId="1350"/>
    <cellStyle name="Normal 8 2 2 3 2 2" xfId="3020"/>
    <cellStyle name="Normal 8 2 2 3 3" xfId="2183"/>
    <cellStyle name="Normal 8 2 2 4" xfId="743"/>
    <cellStyle name="Normal 8 2 2 4 2" xfId="1584"/>
    <cellStyle name="Normal 8 2 2 4 2 2" xfId="3254"/>
    <cellStyle name="Normal 8 2 2 4 3" xfId="2417"/>
    <cellStyle name="Normal 8 2 2 5" xfId="1069"/>
    <cellStyle name="Normal 8 2 2 5 2" xfId="2739"/>
    <cellStyle name="Normal 8 2 2 6" xfId="3572"/>
    <cellStyle name="Normal 8 2 2 7" xfId="1902"/>
    <cellStyle name="Normal 8 2 3" xfId="314"/>
    <cellStyle name="Normal 8 2 3 2" xfId="567"/>
    <cellStyle name="Normal 8 2 3 2 2" xfId="1408"/>
    <cellStyle name="Normal 8 2 3 2 2 2" xfId="3078"/>
    <cellStyle name="Normal 8 2 3 2 3" xfId="2241"/>
    <cellStyle name="Normal 8 2 3 3" xfId="801"/>
    <cellStyle name="Normal 8 2 3 3 2" xfId="1642"/>
    <cellStyle name="Normal 8 2 3 3 2 2" xfId="3312"/>
    <cellStyle name="Normal 8 2 3 3 3" xfId="2475"/>
    <cellStyle name="Normal 8 2 3 4" xfId="1161"/>
    <cellStyle name="Normal 8 2 3 4 2" xfId="2831"/>
    <cellStyle name="Normal 8 2 3 5" xfId="3664"/>
    <cellStyle name="Normal 8 2 3 6" xfId="1994"/>
    <cellStyle name="Normal 8 2 4" xfId="408"/>
    <cellStyle name="Normal 8 2 4 2" xfId="1253"/>
    <cellStyle name="Normal 8 2 4 2 2" xfId="2923"/>
    <cellStyle name="Normal 8 2 4 3" xfId="3756"/>
    <cellStyle name="Normal 8 2 4 4" xfId="2086"/>
    <cellStyle name="Normal 8 2 5" xfId="455"/>
    <cellStyle name="Normal 8 2 5 2" xfId="1298"/>
    <cellStyle name="Normal 8 2 5 2 2" xfId="2968"/>
    <cellStyle name="Normal 8 2 5 3" xfId="2131"/>
    <cellStyle name="Normal 8 2 6" xfId="691"/>
    <cellStyle name="Normal 8 2 6 2" xfId="1532"/>
    <cellStyle name="Normal 8 2 6 2 2" xfId="3202"/>
    <cellStyle name="Normal 8 2 6 3" xfId="2365"/>
    <cellStyle name="Normal 8 2 7" xfId="979"/>
    <cellStyle name="Normal 8 2 7 2" xfId="2649"/>
    <cellStyle name="Normal 8 2 8" xfId="3482"/>
    <cellStyle name="Normal 8 2 9" xfId="1812"/>
    <cellStyle name="Normal 8 3" xfId="184"/>
    <cellStyle name="Normal 8 3 2" xfId="605"/>
    <cellStyle name="Normal 8 3 2 2" xfId="839"/>
    <cellStyle name="Normal 8 3 2 2 2" xfId="1680"/>
    <cellStyle name="Normal 8 3 2 2 2 2" xfId="3350"/>
    <cellStyle name="Normal 8 3 2 2 3" xfId="2513"/>
    <cellStyle name="Normal 8 3 2 3" xfId="1446"/>
    <cellStyle name="Normal 8 3 2 3 2" xfId="3116"/>
    <cellStyle name="Normal 8 3 2 4" xfId="2279"/>
    <cellStyle name="Normal 8 3 3" xfId="494"/>
    <cellStyle name="Normal 8 3 3 2" xfId="1336"/>
    <cellStyle name="Normal 8 3 3 2 2" xfId="3006"/>
    <cellStyle name="Normal 8 3 3 3" xfId="2169"/>
    <cellStyle name="Normal 8 3 4" xfId="729"/>
    <cellStyle name="Normal 8 3 4 2" xfId="1570"/>
    <cellStyle name="Normal 8 3 4 2 2" xfId="3240"/>
    <cellStyle name="Normal 8 3 4 3" xfId="2403"/>
    <cellStyle name="Normal 8 3 5" xfId="1031"/>
    <cellStyle name="Normal 8 3 5 2" xfId="2701"/>
    <cellStyle name="Normal 8 3 6" xfId="3534"/>
    <cellStyle name="Normal 8 3 7" xfId="1864"/>
    <cellStyle name="Normal 8 4" xfId="276"/>
    <cellStyle name="Normal 8 4 2" xfId="553"/>
    <cellStyle name="Normal 8 4 2 2" xfId="1394"/>
    <cellStyle name="Normal 8 4 2 2 2" xfId="3064"/>
    <cellStyle name="Normal 8 4 2 3" xfId="2227"/>
    <cellStyle name="Normal 8 4 3" xfId="787"/>
    <cellStyle name="Normal 8 4 3 2" xfId="1628"/>
    <cellStyle name="Normal 8 4 3 2 2" xfId="3298"/>
    <cellStyle name="Normal 8 4 3 3" xfId="2461"/>
    <cellStyle name="Normal 8 4 4" xfId="1123"/>
    <cellStyle name="Normal 8 4 4 2" xfId="2793"/>
    <cellStyle name="Normal 8 4 5" xfId="3626"/>
    <cellStyle name="Normal 8 4 6" xfId="1956"/>
    <cellStyle name="Normal 8 5" xfId="370"/>
    <cellStyle name="Normal 8 5 2" xfId="1215"/>
    <cellStyle name="Normal 8 5 2 2" xfId="2885"/>
    <cellStyle name="Normal 8 5 3" xfId="3718"/>
    <cellStyle name="Normal 8 5 4" xfId="2048"/>
    <cellStyle name="Normal 8 6" xfId="441"/>
    <cellStyle name="Normal 8 6 2" xfId="1284"/>
    <cellStyle name="Normal 8 6 2 2" xfId="2954"/>
    <cellStyle name="Normal 8 6 3" xfId="2117"/>
    <cellStyle name="Normal 8 7" xfId="677"/>
    <cellStyle name="Normal 8 7 2" xfId="1518"/>
    <cellStyle name="Normal 8 7 2 2" xfId="3188"/>
    <cellStyle name="Normal 8 7 3" xfId="2351"/>
    <cellStyle name="Normal 8 8" xfId="927"/>
    <cellStyle name="Normal 8 8 2" xfId="2597"/>
    <cellStyle name="Normal 8 9" xfId="3430"/>
    <cellStyle name="Normal 9" xfId="49"/>
    <cellStyle name="Normal 9 10" xfId="1761"/>
    <cellStyle name="Normal 9 2" xfId="133"/>
    <cellStyle name="Normal 9 2 2" xfId="223"/>
    <cellStyle name="Normal 9 2 2 2" xfId="620"/>
    <cellStyle name="Normal 9 2 2 2 2" xfId="1461"/>
    <cellStyle name="Normal 9 2 2 2 2 2" xfId="3131"/>
    <cellStyle name="Normal 9 2 2 2 3" xfId="2294"/>
    <cellStyle name="Normal 9 2 2 3" xfId="854"/>
    <cellStyle name="Normal 9 2 2 3 2" xfId="1695"/>
    <cellStyle name="Normal 9 2 2 3 2 2" xfId="3365"/>
    <cellStyle name="Normal 9 2 2 3 3" xfId="2528"/>
    <cellStyle name="Normal 9 2 2 4" xfId="1070"/>
    <cellStyle name="Normal 9 2 2 4 2" xfId="2740"/>
    <cellStyle name="Normal 9 2 2 5" xfId="3573"/>
    <cellStyle name="Normal 9 2 2 6" xfId="1903"/>
    <cellStyle name="Normal 9 2 3" xfId="315"/>
    <cellStyle name="Normal 9 2 3 2" xfId="1162"/>
    <cellStyle name="Normal 9 2 3 2 2" xfId="2832"/>
    <cellStyle name="Normal 9 2 3 3" xfId="3665"/>
    <cellStyle name="Normal 9 2 3 4" xfId="1995"/>
    <cellStyle name="Normal 9 2 4" xfId="409"/>
    <cellStyle name="Normal 9 2 4 2" xfId="1254"/>
    <cellStyle name="Normal 9 2 4 2 2" xfId="2924"/>
    <cellStyle name="Normal 9 2 4 3" xfId="3757"/>
    <cellStyle name="Normal 9 2 4 4" xfId="2087"/>
    <cellStyle name="Normal 9 2 5" xfId="509"/>
    <cellStyle name="Normal 9 2 5 2" xfId="1351"/>
    <cellStyle name="Normal 9 2 5 2 2" xfId="3021"/>
    <cellStyle name="Normal 9 2 5 3" xfId="2184"/>
    <cellStyle name="Normal 9 2 6" xfId="744"/>
    <cellStyle name="Normal 9 2 6 2" xfId="1585"/>
    <cellStyle name="Normal 9 2 6 2 2" xfId="3255"/>
    <cellStyle name="Normal 9 2 6 3" xfId="2418"/>
    <cellStyle name="Normal 9 2 7" xfId="980"/>
    <cellStyle name="Normal 9 2 7 2" xfId="2650"/>
    <cellStyle name="Normal 9 2 8" xfId="3483"/>
    <cellStyle name="Normal 9 2 9" xfId="1813"/>
    <cellStyle name="Normal 9 3" xfId="185"/>
    <cellStyle name="Normal 9 3 2" xfId="568"/>
    <cellStyle name="Normal 9 3 2 2" xfId="1409"/>
    <cellStyle name="Normal 9 3 2 2 2" xfId="3079"/>
    <cellStyle name="Normal 9 3 2 3" xfId="2242"/>
    <cellStyle name="Normal 9 3 3" xfId="802"/>
    <cellStyle name="Normal 9 3 3 2" xfId="1643"/>
    <cellStyle name="Normal 9 3 3 2 2" xfId="3313"/>
    <cellStyle name="Normal 9 3 3 3" xfId="2476"/>
    <cellStyle name="Normal 9 3 4" xfId="1032"/>
    <cellStyle name="Normal 9 3 4 2" xfId="2702"/>
    <cellStyle name="Normal 9 3 5" xfId="3535"/>
    <cellStyle name="Normal 9 3 6" xfId="1865"/>
    <cellStyle name="Normal 9 4" xfId="277"/>
    <cellStyle name="Normal 9 4 2" xfId="1124"/>
    <cellStyle name="Normal 9 4 2 2" xfId="2794"/>
    <cellStyle name="Normal 9 4 3" xfId="3627"/>
    <cellStyle name="Normal 9 4 4" xfId="1957"/>
    <cellStyle name="Normal 9 5" xfId="371"/>
    <cellStyle name="Normal 9 5 2" xfId="1216"/>
    <cellStyle name="Normal 9 5 2 2" xfId="2886"/>
    <cellStyle name="Normal 9 5 3" xfId="3719"/>
    <cellStyle name="Normal 9 5 4" xfId="2049"/>
    <cellStyle name="Normal 9 6" xfId="456"/>
    <cellStyle name="Normal 9 6 2" xfId="1299"/>
    <cellStyle name="Normal 9 6 2 2" xfId="2969"/>
    <cellStyle name="Normal 9 6 3" xfId="2132"/>
    <cellStyle name="Normal 9 7" xfId="692"/>
    <cellStyle name="Normal 9 7 2" xfId="1533"/>
    <cellStyle name="Normal 9 7 2 2" xfId="3203"/>
    <cellStyle name="Normal 9 7 3" xfId="2366"/>
    <cellStyle name="Normal 9 8" xfId="928"/>
    <cellStyle name="Normal 9 8 2" xfId="2598"/>
    <cellStyle name="Normal 9 9" xfId="3431"/>
    <cellStyle name="Note 2" xfId="57"/>
    <cellStyle name="Note 2 10" xfId="1766"/>
    <cellStyle name="Note 2 2" xfId="134"/>
    <cellStyle name="Note 2 2 2" xfId="224"/>
    <cellStyle name="Note 2 2 2 2" xfId="1071"/>
    <cellStyle name="Note 2 2 2 2 2" xfId="2741"/>
    <cellStyle name="Note 2 2 2 3" xfId="3574"/>
    <cellStyle name="Note 2 2 2 4" xfId="1904"/>
    <cellStyle name="Note 2 2 3" xfId="316"/>
    <cellStyle name="Note 2 2 3 2" xfId="1163"/>
    <cellStyle name="Note 2 2 3 2 2" xfId="2833"/>
    <cellStyle name="Note 2 2 3 3" xfId="3666"/>
    <cellStyle name="Note 2 2 3 4" xfId="1996"/>
    <cellStyle name="Note 2 2 4" xfId="410"/>
    <cellStyle name="Note 2 2 4 2" xfId="1255"/>
    <cellStyle name="Note 2 2 4 2 2" xfId="2925"/>
    <cellStyle name="Note 2 2 4 3" xfId="3758"/>
    <cellStyle name="Note 2 2 4 4" xfId="2088"/>
    <cellStyle name="Note 2 2 5" xfId="981"/>
    <cellStyle name="Note 2 2 5 2" xfId="2651"/>
    <cellStyle name="Note 2 2 6" xfId="3484"/>
    <cellStyle name="Note 2 2 7" xfId="1814"/>
    <cellStyle name="Note 2 3" xfId="186"/>
    <cellStyle name="Note 2 3 2" xfId="1033"/>
    <cellStyle name="Note 2 3 2 2" xfId="2703"/>
    <cellStyle name="Note 2 3 3" xfId="3536"/>
    <cellStyle name="Note 2 3 4" xfId="1866"/>
    <cellStyle name="Note 2 4" xfId="278"/>
    <cellStyle name="Note 2 4 2" xfId="1125"/>
    <cellStyle name="Note 2 4 2 2" xfId="2795"/>
    <cellStyle name="Note 2 4 3" xfId="3628"/>
    <cellStyle name="Note 2 4 4" xfId="1958"/>
    <cellStyle name="Note 2 5" xfId="372"/>
    <cellStyle name="Note 2 5 2" xfId="1217"/>
    <cellStyle name="Note 2 5 2 2" xfId="2887"/>
    <cellStyle name="Note 2 5 3" xfId="3720"/>
    <cellStyle name="Note 2 5 4" xfId="2050"/>
    <cellStyle name="Note 2 6" xfId="657"/>
    <cellStyle name="Note 2 6 2" xfId="1498"/>
    <cellStyle name="Note 2 6 2 2" xfId="3168"/>
    <cellStyle name="Note 2 6 3" xfId="2331"/>
    <cellStyle name="Note 2 7" xfId="891"/>
    <cellStyle name="Note 2 7 2" xfId="1732"/>
    <cellStyle name="Note 2 7 2 2" xfId="3402"/>
    <cellStyle name="Note 2 7 3" xfId="2565"/>
    <cellStyle name="Note 2 8" xfId="933"/>
    <cellStyle name="Note 2 8 2" xfId="2603"/>
    <cellStyle name="Note 2 9" xfId="3436"/>
    <cellStyle name="Note 3" xfId="103"/>
    <cellStyle name="Note 3 2" xfId="225"/>
    <cellStyle name="Note 3 2 2" xfId="1072"/>
    <cellStyle name="Note 3 2 2 2" xfId="2742"/>
    <cellStyle name="Note 3 2 3" xfId="3575"/>
    <cellStyle name="Note 3 2 4" xfId="1905"/>
    <cellStyle name="Note 3 3" xfId="317"/>
    <cellStyle name="Note 3 3 2" xfId="1164"/>
    <cellStyle name="Note 3 3 2 2" xfId="2834"/>
    <cellStyle name="Note 3 3 3" xfId="3667"/>
    <cellStyle name="Note 3 3 4" xfId="1997"/>
    <cellStyle name="Note 3 4" xfId="411"/>
    <cellStyle name="Note 3 4 2" xfId="1256"/>
    <cellStyle name="Note 3 4 2 2" xfId="2926"/>
    <cellStyle name="Note 3 4 3" xfId="3759"/>
    <cellStyle name="Note 3 4 4" xfId="2089"/>
    <cellStyle name="Note 3 5" xfId="951"/>
    <cellStyle name="Note 3 5 2" xfId="2621"/>
    <cellStyle name="Note 3 6" xfId="3454"/>
    <cellStyle name="Note 3 7" xfId="1784"/>
    <cellStyle name="Note 4" xfId="144"/>
    <cellStyle name="Note 4 2" xfId="991"/>
    <cellStyle name="Note 4 2 2" xfId="2661"/>
    <cellStyle name="Note 4 3" xfId="3494"/>
    <cellStyle name="Note 4 4" xfId="1824"/>
    <cellStyle name="Note 5" xfId="236"/>
    <cellStyle name="Note 5 2" xfId="1083"/>
    <cellStyle name="Note 5 2 2" xfId="2753"/>
    <cellStyle name="Note 5 3" xfId="3586"/>
    <cellStyle name="Note 5 4" xfId="1916"/>
    <cellStyle name="Note 6" xfId="330"/>
    <cellStyle name="Note 6 2" xfId="1175"/>
    <cellStyle name="Note 6 2 2" xfId="2845"/>
    <cellStyle name="Note 6 3" xfId="3678"/>
    <cellStyle name="Note 6 4" xfId="2008"/>
    <cellStyle name="Output" xfId="70" builtinId="21" customBuiltin="1"/>
    <cellStyle name="Percent" xfId="6" builtinId="5"/>
    <cellStyle name="Percent 2" xfId="11"/>
    <cellStyle name="Percent 2 10" xfId="421"/>
    <cellStyle name="Percent 2 10 2" xfId="1266"/>
    <cellStyle name="Percent 2 10 2 2" xfId="2936"/>
    <cellStyle name="Percent 2 10 3" xfId="2099"/>
    <cellStyle name="Percent 2 11" xfId="659"/>
    <cellStyle name="Percent 2 11 2" xfId="1500"/>
    <cellStyle name="Percent 2 11 2 2" xfId="3170"/>
    <cellStyle name="Percent 2 11 3" xfId="2333"/>
    <cellStyle name="Percent 2 12" xfId="898"/>
    <cellStyle name="Percent 2 12 2" xfId="2568"/>
    <cellStyle name="Percent 2 13" xfId="3404"/>
    <cellStyle name="Percent 2 14" xfId="1734"/>
    <cellStyle name="Percent 2 2" xfId="20"/>
    <cellStyle name="Percent 2 2 10" xfId="904"/>
    <cellStyle name="Percent 2 2 10 2" xfId="2574"/>
    <cellStyle name="Percent 2 2 11" xfId="3407"/>
    <cellStyle name="Percent 2 2 12" xfId="1737"/>
    <cellStyle name="Percent 2 2 2" xfId="33"/>
    <cellStyle name="Percent 2 2 2 10" xfId="1745"/>
    <cellStyle name="Percent 2 2 2 2" xfId="136"/>
    <cellStyle name="Percent 2 2 2 2 2" xfId="226"/>
    <cellStyle name="Percent 2 2 2 2 2 2" xfId="635"/>
    <cellStyle name="Percent 2 2 2 2 2 2 2" xfId="869"/>
    <cellStyle name="Percent 2 2 2 2 2 2 2 2" xfId="1710"/>
    <cellStyle name="Percent 2 2 2 2 2 2 2 2 2" xfId="3380"/>
    <cellStyle name="Percent 2 2 2 2 2 2 2 3" xfId="2543"/>
    <cellStyle name="Percent 2 2 2 2 2 2 3" xfId="1476"/>
    <cellStyle name="Percent 2 2 2 2 2 2 3 2" xfId="3146"/>
    <cellStyle name="Percent 2 2 2 2 2 2 4" xfId="2309"/>
    <cellStyle name="Percent 2 2 2 2 2 3" xfId="524"/>
    <cellStyle name="Percent 2 2 2 2 2 3 2" xfId="1366"/>
    <cellStyle name="Percent 2 2 2 2 2 3 2 2" xfId="3036"/>
    <cellStyle name="Percent 2 2 2 2 2 3 3" xfId="2199"/>
    <cellStyle name="Percent 2 2 2 2 2 4" xfId="759"/>
    <cellStyle name="Percent 2 2 2 2 2 4 2" xfId="1600"/>
    <cellStyle name="Percent 2 2 2 2 2 4 2 2" xfId="3270"/>
    <cellStyle name="Percent 2 2 2 2 2 4 3" xfId="2433"/>
    <cellStyle name="Percent 2 2 2 2 2 5" xfId="1073"/>
    <cellStyle name="Percent 2 2 2 2 2 5 2" xfId="2743"/>
    <cellStyle name="Percent 2 2 2 2 2 6" xfId="3576"/>
    <cellStyle name="Percent 2 2 2 2 2 7" xfId="1906"/>
    <cellStyle name="Percent 2 2 2 2 3" xfId="318"/>
    <cellStyle name="Percent 2 2 2 2 3 2" xfId="583"/>
    <cellStyle name="Percent 2 2 2 2 3 2 2" xfId="1424"/>
    <cellStyle name="Percent 2 2 2 2 3 2 2 2" xfId="3094"/>
    <cellStyle name="Percent 2 2 2 2 3 2 3" xfId="2257"/>
    <cellStyle name="Percent 2 2 2 2 3 3" xfId="817"/>
    <cellStyle name="Percent 2 2 2 2 3 3 2" xfId="1658"/>
    <cellStyle name="Percent 2 2 2 2 3 3 2 2" xfId="3328"/>
    <cellStyle name="Percent 2 2 2 2 3 3 3" xfId="2491"/>
    <cellStyle name="Percent 2 2 2 2 3 4" xfId="1165"/>
    <cellStyle name="Percent 2 2 2 2 3 4 2" xfId="2835"/>
    <cellStyle name="Percent 2 2 2 2 3 5" xfId="3668"/>
    <cellStyle name="Percent 2 2 2 2 3 6" xfId="1998"/>
    <cellStyle name="Percent 2 2 2 2 4" xfId="412"/>
    <cellStyle name="Percent 2 2 2 2 4 2" xfId="1257"/>
    <cellStyle name="Percent 2 2 2 2 4 2 2" xfId="2927"/>
    <cellStyle name="Percent 2 2 2 2 4 3" xfId="3760"/>
    <cellStyle name="Percent 2 2 2 2 4 4" xfId="2090"/>
    <cellStyle name="Percent 2 2 2 2 5" xfId="472"/>
    <cellStyle name="Percent 2 2 2 2 5 2" xfId="1314"/>
    <cellStyle name="Percent 2 2 2 2 5 2 2" xfId="2984"/>
    <cellStyle name="Percent 2 2 2 2 5 3" xfId="2147"/>
    <cellStyle name="Percent 2 2 2 2 6" xfId="707"/>
    <cellStyle name="Percent 2 2 2 2 6 2" xfId="1548"/>
    <cellStyle name="Percent 2 2 2 2 6 2 2" xfId="3218"/>
    <cellStyle name="Percent 2 2 2 2 6 3" xfId="2381"/>
    <cellStyle name="Percent 2 2 2 2 7" xfId="983"/>
    <cellStyle name="Percent 2 2 2 2 7 2" xfId="2653"/>
    <cellStyle name="Percent 2 2 2 2 8" xfId="3486"/>
    <cellStyle name="Percent 2 2 2 2 9" xfId="1816"/>
    <cellStyle name="Percent 2 2 2 3" xfId="188"/>
    <cellStyle name="Percent 2 2 2 3 2" xfId="601"/>
    <cellStyle name="Percent 2 2 2 3 2 2" xfId="835"/>
    <cellStyle name="Percent 2 2 2 3 2 2 2" xfId="1676"/>
    <cellStyle name="Percent 2 2 2 3 2 2 2 2" xfId="3346"/>
    <cellStyle name="Percent 2 2 2 3 2 2 3" xfId="2509"/>
    <cellStyle name="Percent 2 2 2 3 2 3" xfId="1442"/>
    <cellStyle name="Percent 2 2 2 3 2 3 2" xfId="3112"/>
    <cellStyle name="Percent 2 2 2 3 2 4" xfId="2275"/>
    <cellStyle name="Percent 2 2 2 3 3" xfId="490"/>
    <cellStyle name="Percent 2 2 2 3 3 2" xfId="1332"/>
    <cellStyle name="Percent 2 2 2 3 3 2 2" xfId="3002"/>
    <cellStyle name="Percent 2 2 2 3 3 3" xfId="2165"/>
    <cellStyle name="Percent 2 2 2 3 4" xfId="725"/>
    <cellStyle name="Percent 2 2 2 3 4 2" xfId="1566"/>
    <cellStyle name="Percent 2 2 2 3 4 2 2" xfId="3236"/>
    <cellStyle name="Percent 2 2 2 3 4 3" xfId="2399"/>
    <cellStyle name="Percent 2 2 2 3 5" xfId="1035"/>
    <cellStyle name="Percent 2 2 2 3 5 2" xfId="2705"/>
    <cellStyle name="Percent 2 2 2 3 6" xfId="3538"/>
    <cellStyle name="Percent 2 2 2 3 7" xfId="1868"/>
    <cellStyle name="Percent 2 2 2 4" xfId="280"/>
    <cellStyle name="Percent 2 2 2 4 2" xfId="549"/>
    <cellStyle name="Percent 2 2 2 4 2 2" xfId="1390"/>
    <cellStyle name="Percent 2 2 2 4 2 2 2" xfId="3060"/>
    <cellStyle name="Percent 2 2 2 4 2 3" xfId="2223"/>
    <cellStyle name="Percent 2 2 2 4 3" xfId="783"/>
    <cellStyle name="Percent 2 2 2 4 3 2" xfId="1624"/>
    <cellStyle name="Percent 2 2 2 4 3 2 2" xfId="3294"/>
    <cellStyle name="Percent 2 2 2 4 3 3" xfId="2457"/>
    <cellStyle name="Percent 2 2 2 4 4" xfId="1127"/>
    <cellStyle name="Percent 2 2 2 4 4 2" xfId="2797"/>
    <cellStyle name="Percent 2 2 2 4 5" xfId="3630"/>
    <cellStyle name="Percent 2 2 2 4 6" xfId="1960"/>
    <cellStyle name="Percent 2 2 2 5" xfId="374"/>
    <cellStyle name="Percent 2 2 2 5 2" xfId="1219"/>
    <cellStyle name="Percent 2 2 2 5 2 2" xfId="2889"/>
    <cellStyle name="Percent 2 2 2 5 3" xfId="3722"/>
    <cellStyle name="Percent 2 2 2 5 4" xfId="2052"/>
    <cellStyle name="Percent 2 2 2 6" xfId="437"/>
    <cellStyle name="Percent 2 2 2 6 2" xfId="1280"/>
    <cellStyle name="Percent 2 2 2 6 2 2" xfId="2950"/>
    <cellStyle name="Percent 2 2 2 6 3" xfId="2113"/>
    <cellStyle name="Percent 2 2 2 7" xfId="673"/>
    <cellStyle name="Percent 2 2 2 7 2" xfId="1514"/>
    <cellStyle name="Percent 2 2 2 7 2 2" xfId="3184"/>
    <cellStyle name="Percent 2 2 2 7 3" xfId="2347"/>
    <cellStyle name="Percent 2 2 2 8" xfId="912"/>
    <cellStyle name="Percent 2 2 2 8 2" xfId="2582"/>
    <cellStyle name="Percent 2 2 2 9" xfId="3415"/>
    <cellStyle name="Percent 2 2 3" xfId="44"/>
    <cellStyle name="Percent 2 2 3 10" xfId="1756"/>
    <cellStyle name="Percent 2 2 3 2" xfId="137"/>
    <cellStyle name="Percent 2 2 3 2 2" xfId="227"/>
    <cellStyle name="Percent 2 2 3 2 2 2" xfId="615"/>
    <cellStyle name="Percent 2 2 3 2 2 2 2" xfId="1456"/>
    <cellStyle name="Percent 2 2 3 2 2 2 2 2" xfId="3126"/>
    <cellStyle name="Percent 2 2 3 2 2 2 3" xfId="2289"/>
    <cellStyle name="Percent 2 2 3 2 2 3" xfId="849"/>
    <cellStyle name="Percent 2 2 3 2 2 3 2" xfId="1690"/>
    <cellStyle name="Percent 2 2 3 2 2 3 2 2" xfId="3360"/>
    <cellStyle name="Percent 2 2 3 2 2 3 3" xfId="2523"/>
    <cellStyle name="Percent 2 2 3 2 2 4" xfId="1074"/>
    <cellStyle name="Percent 2 2 3 2 2 4 2" xfId="2744"/>
    <cellStyle name="Percent 2 2 3 2 2 5" xfId="3577"/>
    <cellStyle name="Percent 2 2 3 2 2 6" xfId="1907"/>
    <cellStyle name="Percent 2 2 3 2 3" xfId="319"/>
    <cellStyle name="Percent 2 2 3 2 3 2" xfId="1166"/>
    <cellStyle name="Percent 2 2 3 2 3 2 2" xfId="2836"/>
    <cellStyle name="Percent 2 2 3 2 3 3" xfId="3669"/>
    <cellStyle name="Percent 2 2 3 2 3 4" xfId="1999"/>
    <cellStyle name="Percent 2 2 3 2 4" xfId="413"/>
    <cellStyle name="Percent 2 2 3 2 4 2" xfId="1258"/>
    <cellStyle name="Percent 2 2 3 2 4 2 2" xfId="2928"/>
    <cellStyle name="Percent 2 2 3 2 4 3" xfId="3761"/>
    <cellStyle name="Percent 2 2 3 2 4 4" xfId="2091"/>
    <cellStyle name="Percent 2 2 3 2 5" xfId="504"/>
    <cellStyle name="Percent 2 2 3 2 5 2" xfId="1346"/>
    <cellStyle name="Percent 2 2 3 2 5 2 2" xfId="3016"/>
    <cellStyle name="Percent 2 2 3 2 5 3" xfId="2179"/>
    <cellStyle name="Percent 2 2 3 2 6" xfId="739"/>
    <cellStyle name="Percent 2 2 3 2 6 2" xfId="1580"/>
    <cellStyle name="Percent 2 2 3 2 6 2 2" xfId="3250"/>
    <cellStyle name="Percent 2 2 3 2 6 3" xfId="2413"/>
    <cellStyle name="Percent 2 2 3 2 7" xfId="984"/>
    <cellStyle name="Percent 2 2 3 2 7 2" xfId="2654"/>
    <cellStyle name="Percent 2 2 3 2 8" xfId="3487"/>
    <cellStyle name="Percent 2 2 3 2 9" xfId="1817"/>
    <cellStyle name="Percent 2 2 3 3" xfId="189"/>
    <cellStyle name="Percent 2 2 3 3 2" xfId="563"/>
    <cellStyle name="Percent 2 2 3 3 2 2" xfId="1404"/>
    <cellStyle name="Percent 2 2 3 3 2 2 2" xfId="3074"/>
    <cellStyle name="Percent 2 2 3 3 2 3" xfId="2237"/>
    <cellStyle name="Percent 2 2 3 3 3" xfId="797"/>
    <cellStyle name="Percent 2 2 3 3 3 2" xfId="1638"/>
    <cellStyle name="Percent 2 2 3 3 3 2 2" xfId="3308"/>
    <cellStyle name="Percent 2 2 3 3 3 3" xfId="2471"/>
    <cellStyle name="Percent 2 2 3 3 4" xfId="1036"/>
    <cellStyle name="Percent 2 2 3 3 4 2" xfId="2706"/>
    <cellStyle name="Percent 2 2 3 3 5" xfId="3539"/>
    <cellStyle name="Percent 2 2 3 3 6" xfId="1869"/>
    <cellStyle name="Percent 2 2 3 4" xfId="281"/>
    <cellStyle name="Percent 2 2 3 4 2" xfId="1128"/>
    <cellStyle name="Percent 2 2 3 4 2 2" xfId="2798"/>
    <cellStyle name="Percent 2 2 3 4 3" xfId="3631"/>
    <cellStyle name="Percent 2 2 3 4 4" xfId="1961"/>
    <cellStyle name="Percent 2 2 3 5" xfId="375"/>
    <cellStyle name="Percent 2 2 3 5 2" xfId="1220"/>
    <cellStyle name="Percent 2 2 3 5 2 2" xfId="2890"/>
    <cellStyle name="Percent 2 2 3 5 3" xfId="3723"/>
    <cellStyle name="Percent 2 2 3 5 4" xfId="2053"/>
    <cellStyle name="Percent 2 2 3 6" xfId="451"/>
    <cellStyle name="Percent 2 2 3 6 2" xfId="1294"/>
    <cellStyle name="Percent 2 2 3 6 2 2" xfId="2964"/>
    <cellStyle name="Percent 2 2 3 6 3" xfId="2127"/>
    <cellStyle name="Percent 2 2 3 7" xfId="687"/>
    <cellStyle name="Percent 2 2 3 7 2" xfId="1528"/>
    <cellStyle name="Percent 2 2 3 7 2 2" xfId="3198"/>
    <cellStyle name="Percent 2 2 3 7 3" xfId="2361"/>
    <cellStyle name="Percent 2 2 3 8" xfId="923"/>
    <cellStyle name="Percent 2 2 3 8 2" xfId="2593"/>
    <cellStyle name="Percent 2 2 3 9" xfId="3426"/>
    <cellStyle name="Percent 2 2 4" xfId="135"/>
    <cellStyle name="Percent 2 2 4 2" xfId="228"/>
    <cellStyle name="Percent 2 2 4 2 2" xfId="627"/>
    <cellStyle name="Percent 2 2 4 2 2 2" xfId="861"/>
    <cellStyle name="Percent 2 2 4 2 2 2 2" xfId="1702"/>
    <cellStyle name="Percent 2 2 4 2 2 2 2 2" xfId="3372"/>
    <cellStyle name="Percent 2 2 4 2 2 2 3" xfId="2535"/>
    <cellStyle name="Percent 2 2 4 2 2 3" xfId="1468"/>
    <cellStyle name="Percent 2 2 4 2 2 3 2" xfId="3138"/>
    <cellStyle name="Percent 2 2 4 2 2 4" xfId="2301"/>
    <cellStyle name="Percent 2 2 4 2 3" xfId="516"/>
    <cellStyle name="Percent 2 2 4 2 3 2" xfId="1358"/>
    <cellStyle name="Percent 2 2 4 2 3 2 2" xfId="3028"/>
    <cellStyle name="Percent 2 2 4 2 3 3" xfId="2191"/>
    <cellStyle name="Percent 2 2 4 2 4" xfId="751"/>
    <cellStyle name="Percent 2 2 4 2 4 2" xfId="1592"/>
    <cellStyle name="Percent 2 2 4 2 4 2 2" xfId="3262"/>
    <cellStyle name="Percent 2 2 4 2 4 3" xfId="2425"/>
    <cellStyle name="Percent 2 2 4 2 5" xfId="1075"/>
    <cellStyle name="Percent 2 2 4 2 5 2" xfId="2745"/>
    <cellStyle name="Percent 2 2 4 2 6" xfId="3578"/>
    <cellStyle name="Percent 2 2 4 2 7" xfId="1908"/>
    <cellStyle name="Percent 2 2 4 3" xfId="320"/>
    <cellStyle name="Percent 2 2 4 3 2" xfId="575"/>
    <cellStyle name="Percent 2 2 4 3 2 2" xfId="1416"/>
    <cellStyle name="Percent 2 2 4 3 2 2 2" xfId="3086"/>
    <cellStyle name="Percent 2 2 4 3 2 3" xfId="2249"/>
    <cellStyle name="Percent 2 2 4 3 3" xfId="809"/>
    <cellStyle name="Percent 2 2 4 3 3 2" xfId="1650"/>
    <cellStyle name="Percent 2 2 4 3 3 2 2" xfId="3320"/>
    <cellStyle name="Percent 2 2 4 3 3 3" xfId="2483"/>
    <cellStyle name="Percent 2 2 4 3 4" xfId="1167"/>
    <cellStyle name="Percent 2 2 4 3 4 2" xfId="2837"/>
    <cellStyle name="Percent 2 2 4 3 5" xfId="3670"/>
    <cellStyle name="Percent 2 2 4 3 6" xfId="2000"/>
    <cellStyle name="Percent 2 2 4 4" xfId="414"/>
    <cellStyle name="Percent 2 2 4 4 2" xfId="1259"/>
    <cellStyle name="Percent 2 2 4 4 2 2" xfId="2929"/>
    <cellStyle name="Percent 2 2 4 4 3" xfId="3762"/>
    <cellStyle name="Percent 2 2 4 4 4" xfId="2092"/>
    <cellStyle name="Percent 2 2 4 5" xfId="464"/>
    <cellStyle name="Percent 2 2 4 5 2" xfId="1306"/>
    <cellStyle name="Percent 2 2 4 5 2 2" xfId="2976"/>
    <cellStyle name="Percent 2 2 4 5 3" xfId="2139"/>
    <cellStyle name="Percent 2 2 4 6" xfId="699"/>
    <cellStyle name="Percent 2 2 4 6 2" xfId="1540"/>
    <cellStyle name="Percent 2 2 4 6 2 2" xfId="3210"/>
    <cellStyle name="Percent 2 2 4 6 3" xfId="2373"/>
    <cellStyle name="Percent 2 2 4 7" xfId="982"/>
    <cellStyle name="Percent 2 2 4 7 2" xfId="2652"/>
    <cellStyle name="Percent 2 2 4 8" xfId="3485"/>
    <cellStyle name="Percent 2 2 4 9" xfId="1815"/>
    <cellStyle name="Percent 2 2 5" xfId="187"/>
    <cellStyle name="Percent 2 2 5 2" xfId="593"/>
    <cellStyle name="Percent 2 2 5 2 2" xfId="827"/>
    <cellStyle name="Percent 2 2 5 2 2 2" xfId="1668"/>
    <cellStyle name="Percent 2 2 5 2 2 2 2" xfId="3338"/>
    <cellStyle name="Percent 2 2 5 2 2 3" xfId="2501"/>
    <cellStyle name="Percent 2 2 5 2 3" xfId="1434"/>
    <cellStyle name="Percent 2 2 5 2 3 2" xfId="3104"/>
    <cellStyle name="Percent 2 2 5 2 4" xfId="2267"/>
    <cellStyle name="Percent 2 2 5 3" xfId="482"/>
    <cellStyle name="Percent 2 2 5 3 2" xfId="1324"/>
    <cellStyle name="Percent 2 2 5 3 2 2" xfId="2994"/>
    <cellStyle name="Percent 2 2 5 3 3" xfId="2157"/>
    <cellStyle name="Percent 2 2 5 4" xfId="717"/>
    <cellStyle name="Percent 2 2 5 4 2" xfId="1558"/>
    <cellStyle name="Percent 2 2 5 4 2 2" xfId="3228"/>
    <cellStyle name="Percent 2 2 5 4 3" xfId="2391"/>
    <cellStyle name="Percent 2 2 5 5" xfId="1034"/>
    <cellStyle name="Percent 2 2 5 5 2" xfId="2704"/>
    <cellStyle name="Percent 2 2 5 6" xfId="3537"/>
    <cellStyle name="Percent 2 2 5 7" xfId="1867"/>
    <cellStyle name="Percent 2 2 6" xfId="279"/>
    <cellStyle name="Percent 2 2 6 2" xfId="541"/>
    <cellStyle name="Percent 2 2 6 2 2" xfId="1382"/>
    <cellStyle name="Percent 2 2 6 2 2 2" xfId="3052"/>
    <cellStyle name="Percent 2 2 6 2 3" xfId="2215"/>
    <cellStyle name="Percent 2 2 6 3" xfId="775"/>
    <cellStyle name="Percent 2 2 6 3 2" xfId="1616"/>
    <cellStyle name="Percent 2 2 6 3 2 2" xfId="3286"/>
    <cellStyle name="Percent 2 2 6 3 3" xfId="2449"/>
    <cellStyle name="Percent 2 2 6 4" xfId="1126"/>
    <cellStyle name="Percent 2 2 6 4 2" xfId="2796"/>
    <cellStyle name="Percent 2 2 6 5" xfId="3629"/>
    <cellStyle name="Percent 2 2 6 6" xfId="1959"/>
    <cellStyle name="Percent 2 2 7" xfId="373"/>
    <cellStyle name="Percent 2 2 7 2" xfId="1218"/>
    <cellStyle name="Percent 2 2 7 2 2" xfId="2888"/>
    <cellStyle name="Percent 2 2 7 3" xfId="3721"/>
    <cellStyle name="Percent 2 2 7 4" xfId="2051"/>
    <cellStyle name="Percent 2 2 8" xfId="429"/>
    <cellStyle name="Percent 2 2 8 2" xfId="1272"/>
    <cellStyle name="Percent 2 2 8 2 2" xfId="2942"/>
    <cellStyle name="Percent 2 2 8 3" xfId="2105"/>
    <cellStyle name="Percent 2 2 9" xfId="665"/>
    <cellStyle name="Percent 2 2 9 2" xfId="1506"/>
    <cellStyle name="Percent 2 2 9 2 2" xfId="3176"/>
    <cellStyle name="Percent 2 2 9 3" xfId="2339"/>
    <cellStyle name="Percent 2 3" xfId="30"/>
    <cellStyle name="Percent 2 3 10" xfId="3412"/>
    <cellStyle name="Percent 2 3 11" xfId="1742"/>
    <cellStyle name="Percent 2 3 2" xfId="41"/>
    <cellStyle name="Percent 2 3 2 10" xfId="1753"/>
    <cellStyle name="Percent 2 3 2 2" xfId="139"/>
    <cellStyle name="Percent 2 3 2 2 2" xfId="229"/>
    <cellStyle name="Percent 2 3 2 2 2 2" xfId="612"/>
    <cellStyle name="Percent 2 3 2 2 2 2 2" xfId="1453"/>
    <cellStyle name="Percent 2 3 2 2 2 2 2 2" xfId="3123"/>
    <cellStyle name="Percent 2 3 2 2 2 2 3" xfId="2286"/>
    <cellStyle name="Percent 2 3 2 2 2 3" xfId="846"/>
    <cellStyle name="Percent 2 3 2 2 2 3 2" xfId="1687"/>
    <cellStyle name="Percent 2 3 2 2 2 3 2 2" xfId="3357"/>
    <cellStyle name="Percent 2 3 2 2 2 3 3" xfId="2520"/>
    <cellStyle name="Percent 2 3 2 2 2 4" xfId="1076"/>
    <cellStyle name="Percent 2 3 2 2 2 4 2" xfId="2746"/>
    <cellStyle name="Percent 2 3 2 2 2 5" xfId="3579"/>
    <cellStyle name="Percent 2 3 2 2 2 6" xfId="1909"/>
    <cellStyle name="Percent 2 3 2 2 3" xfId="321"/>
    <cellStyle name="Percent 2 3 2 2 3 2" xfId="1168"/>
    <cellStyle name="Percent 2 3 2 2 3 2 2" xfId="2838"/>
    <cellStyle name="Percent 2 3 2 2 3 3" xfId="3671"/>
    <cellStyle name="Percent 2 3 2 2 3 4" xfId="2001"/>
    <cellStyle name="Percent 2 3 2 2 4" xfId="415"/>
    <cellStyle name="Percent 2 3 2 2 4 2" xfId="1260"/>
    <cellStyle name="Percent 2 3 2 2 4 2 2" xfId="2930"/>
    <cellStyle name="Percent 2 3 2 2 4 3" xfId="3763"/>
    <cellStyle name="Percent 2 3 2 2 4 4" xfId="2093"/>
    <cellStyle name="Percent 2 3 2 2 5" xfId="501"/>
    <cellStyle name="Percent 2 3 2 2 5 2" xfId="1343"/>
    <cellStyle name="Percent 2 3 2 2 5 2 2" xfId="3013"/>
    <cellStyle name="Percent 2 3 2 2 5 3" xfId="2176"/>
    <cellStyle name="Percent 2 3 2 2 6" xfId="736"/>
    <cellStyle name="Percent 2 3 2 2 6 2" xfId="1577"/>
    <cellStyle name="Percent 2 3 2 2 6 2 2" xfId="3247"/>
    <cellStyle name="Percent 2 3 2 2 6 3" xfId="2410"/>
    <cellStyle name="Percent 2 3 2 2 7" xfId="986"/>
    <cellStyle name="Percent 2 3 2 2 7 2" xfId="2656"/>
    <cellStyle name="Percent 2 3 2 2 8" xfId="3489"/>
    <cellStyle name="Percent 2 3 2 2 9" xfId="1819"/>
    <cellStyle name="Percent 2 3 2 3" xfId="191"/>
    <cellStyle name="Percent 2 3 2 3 2" xfId="560"/>
    <cellStyle name="Percent 2 3 2 3 2 2" xfId="1401"/>
    <cellStyle name="Percent 2 3 2 3 2 2 2" xfId="3071"/>
    <cellStyle name="Percent 2 3 2 3 2 3" xfId="2234"/>
    <cellStyle name="Percent 2 3 2 3 3" xfId="794"/>
    <cellStyle name="Percent 2 3 2 3 3 2" xfId="1635"/>
    <cellStyle name="Percent 2 3 2 3 3 2 2" xfId="3305"/>
    <cellStyle name="Percent 2 3 2 3 3 3" xfId="2468"/>
    <cellStyle name="Percent 2 3 2 3 4" xfId="1038"/>
    <cellStyle name="Percent 2 3 2 3 4 2" xfId="2708"/>
    <cellStyle name="Percent 2 3 2 3 5" xfId="3541"/>
    <cellStyle name="Percent 2 3 2 3 6" xfId="1871"/>
    <cellStyle name="Percent 2 3 2 4" xfId="283"/>
    <cellStyle name="Percent 2 3 2 4 2" xfId="1130"/>
    <cellStyle name="Percent 2 3 2 4 2 2" xfId="2800"/>
    <cellStyle name="Percent 2 3 2 4 3" xfId="3633"/>
    <cellStyle name="Percent 2 3 2 4 4" xfId="1963"/>
    <cellStyle name="Percent 2 3 2 5" xfId="377"/>
    <cellStyle name="Percent 2 3 2 5 2" xfId="1222"/>
    <cellStyle name="Percent 2 3 2 5 2 2" xfId="2892"/>
    <cellStyle name="Percent 2 3 2 5 3" xfId="3725"/>
    <cellStyle name="Percent 2 3 2 5 4" xfId="2055"/>
    <cellStyle name="Percent 2 3 2 6" xfId="448"/>
    <cellStyle name="Percent 2 3 2 6 2" xfId="1291"/>
    <cellStyle name="Percent 2 3 2 6 2 2" xfId="2961"/>
    <cellStyle name="Percent 2 3 2 6 3" xfId="2124"/>
    <cellStyle name="Percent 2 3 2 7" xfId="684"/>
    <cellStyle name="Percent 2 3 2 7 2" xfId="1525"/>
    <cellStyle name="Percent 2 3 2 7 2 2" xfId="3195"/>
    <cellStyle name="Percent 2 3 2 7 3" xfId="2358"/>
    <cellStyle name="Percent 2 3 2 8" xfId="920"/>
    <cellStyle name="Percent 2 3 2 8 2" xfId="2590"/>
    <cellStyle name="Percent 2 3 2 9" xfId="3423"/>
    <cellStyle name="Percent 2 3 3" xfId="138"/>
    <cellStyle name="Percent 2 3 3 2" xfId="230"/>
    <cellStyle name="Percent 2 3 3 2 2" xfId="632"/>
    <cellStyle name="Percent 2 3 3 2 2 2" xfId="866"/>
    <cellStyle name="Percent 2 3 3 2 2 2 2" xfId="1707"/>
    <cellStyle name="Percent 2 3 3 2 2 2 2 2" xfId="3377"/>
    <cellStyle name="Percent 2 3 3 2 2 2 3" xfId="2540"/>
    <cellStyle name="Percent 2 3 3 2 2 3" xfId="1473"/>
    <cellStyle name="Percent 2 3 3 2 2 3 2" xfId="3143"/>
    <cellStyle name="Percent 2 3 3 2 2 4" xfId="2306"/>
    <cellStyle name="Percent 2 3 3 2 3" xfId="521"/>
    <cellStyle name="Percent 2 3 3 2 3 2" xfId="1363"/>
    <cellStyle name="Percent 2 3 3 2 3 2 2" xfId="3033"/>
    <cellStyle name="Percent 2 3 3 2 3 3" xfId="2196"/>
    <cellStyle name="Percent 2 3 3 2 4" xfId="756"/>
    <cellStyle name="Percent 2 3 3 2 4 2" xfId="1597"/>
    <cellStyle name="Percent 2 3 3 2 4 2 2" xfId="3267"/>
    <cellStyle name="Percent 2 3 3 2 4 3" xfId="2430"/>
    <cellStyle name="Percent 2 3 3 2 5" xfId="1077"/>
    <cellStyle name="Percent 2 3 3 2 5 2" xfId="2747"/>
    <cellStyle name="Percent 2 3 3 2 6" xfId="3580"/>
    <cellStyle name="Percent 2 3 3 2 7" xfId="1910"/>
    <cellStyle name="Percent 2 3 3 3" xfId="322"/>
    <cellStyle name="Percent 2 3 3 3 2" xfId="580"/>
    <cellStyle name="Percent 2 3 3 3 2 2" xfId="1421"/>
    <cellStyle name="Percent 2 3 3 3 2 2 2" xfId="3091"/>
    <cellStyle name="Percent 2 3 3 3 2 3" xfId="2254"/>
    <cellStyle name="Percent 2 3 3 3 3" xfId="814"/>
    <cellStyle name="Percent 2 3 3 3 3 2" xfId="1655"/>
    <cellStyle name="Percent 2 3 3 3 3 2 2" xfId="3325"/>
    <cellStyle name="Percent 2 3 3 3 3 3" xfId="2488"/>
    <cellStyle name="Percent 2 3 3 3 4" xfId="1169"/>
    <cellStyle name="Percent 2 3 3 3 4 2" xfId="2839"/>
    <cellStyle name="Percent 2 3 3 3 5" xfId="3672"/>
    <cellStyle name="Percent 2 3 3 3 6" xfId="2002"/>
    <cellStyle name="Percent 2 3 3 4" xfId="416"/>
    <cellStyle name="Percent 2 3 3 4 2" xfId="1261"/>
    <cellStyle name="Percent 2 3 3 4 2 2" xfId="2931"/>
    <cellStyle name="Percent 2 3 3 4 3" xfId="3764"/>
    <cellStyle name="Percent 2 3 3 4 4" xfId="2094"/>
    <cellStyle name="Percent 2 3 3 5" xfId="469"/>
    <cellStyle name="Percent 2 3 3 5 2" xfId="1311"/>
    <cellStyle name="Percent 2 3 3 5 2 2" xfId="2981"/>
    <cellStyle name="Percent 2 3 3 5 3" xfId="2144"/>
    <cellStyle name="Percent 2 3 3 6" xfId="704"/>
    <cellStyle name="Percent 2 3 3 6 2" xfId="1545"/>
    <cellStyle name="Percent 2 3 3 6 2 2" xfId="3215"/>
    <cellStyle name="Percent 2 3 3 6 3" xfId="2378"/>
    <cellStyle name="Percent 2 3 3 7" xfId="985"/>
    <cellStyle name="Percent 2 3 3 7 2" xfId="2655"/>
    <cellStyle name="Percent 2 3 3 8" xfId="3488"/>
    <cellStyle name="Percent 2 3 3 9" xfId="1818"/>
    <cellStyle name="Percent 2 3 4" xfId="190"/>
    <cellStyle name="Percent 2 3 4 2" xfId="598"/>
    <cellStyle name="Percent 2 3 4 2 2" xfId="832"/>
    <cellStyle name="Percent 2 3 4 2 2 2" xfId="1673"/>
    <cellStyle name="Percent 2 3 4 2 2 2 2" xfId="3343"/>
    <cellStyle name="Percent 2 3 4 2 2 3" xfId="2506"/>
    <cellStyle name="Percent 2 3 4 2 3" xfId="1439"/>
    <cellStyle name="Percent 2 3 4 2 3 2" xfId="3109"/>
    <cellStyle name="Percent 2 3 4 2 4" xfId="2272"/>
    <cellStyle name="Percent 2 3 4 3" xfId="487"/>
    <cellStyle name="Percent 2 3 4 3 2" xfId="1329"/>
    <cellStyle name="Percent 2 3 4 3 2 2" xfId="2999"/>
    <cellStyle name="Percent 2 3 4 3 3" xfId="2162"/>
    <cellStyle name="Percent 2 3 4 4" xfId="722"/>
    <cellStyle name="Percent 2 3 4 4 2" xfId="1563"/>
    <cellStyle name="Percent 2 3 4 4 2 2" xfId="3233"/>
    <cellStyle name="Percent 2 3 4 4 3" xfId="2396"/>
    <cellStyle name="Percent 2 3 4 5" xfId="1037"/>
    <cellStyle name="Percent 2 3 4 5 2" xfId="2707"/>
    <cellStyle name="Percent 2 3 4 6" xfId="3540"/>
    <cellStyle name="Percent 2 3 4 7" xfId="1870"/>
    <cellStyle name="Percent 2 3 5" xfId="282"/>
    <cellStyle name="Percent 2 3 5 2" xfId="546"/>
    <cellStyle name="Percent 2 3 5 2 2" xfId="1387"/>
    <cellStyle name="Percent 2 3 5 2 2 2" xfId="3057"/>
    <cellStyle name="Percent 2 3 5 2 3" xfId="2220"/>
    <cellStyle name="Percent 2 3 5 3" xfId="780"/>
    <cellStyle name="Percent 2 3 5 3 2" xfId="1621"/>
    <cellStyle name="Percent 2 3 5 3 2 2" xfId="3291"/>
    <cellStyle name="Percent 2 3 5 3 3" xfId="2454"/>
    <cellStyle name="Percent 2 3 5 4" xfId="1129"/>
    <cellStyle name="Percent 2 3 5 4 2" xfId="2799"/>
    <cellStyle name="Percent 2 3 5 5" xfId="3632"/>
    <cellStyle name="Percent 2 3 5 6" xfId="1962"/>
    <cellStyle name="Percent 2 3 6" xfId="376"/>
    <cellStyle name="Percent 2 3 6 2" xfId="1221"/>
    <cellStyle name="Percent 2 3 6 2 2" xfId="2891"/>
    <cellStyle name="Percent 2 3 6 3" xfId="3724"/>
    <cellStyle name="Percent 2 3 6 4" xfId="2054"/>
    <cellStyle name="Percent 2 3 7" xfId="434"/>
    <cellStyle name="Percent 2 3 7 2" xfId="1277"/>
    <cellStyle name="Percent 2 3 7 2 2" xfId="2947"/>
    <cellStyle name="Percent 2 3 7 3" xfId="2110"/>
    <cellStyle name="Percent 2 3 8" xfId="670"/>
    <cellStyle name="Percent 2 3 8 2" xfId="1511"/>
    <cellStyle name="Percent 2 3 8 2 2" xfId="3181"/>
    <cellStyle name="Percent 2 3 8 3" xfId="2344"/>
    <cellStyle name="Percent 2 3 9" xfId="909"/>
    <cellStyle name="Percent 2 3 9 2" xfId="2579"/>
    <cellStyle name="Percent 2 4" xfId="25"/>
    <cellStyle name="Percent 2 4 10" xfId="1739"/>
    <cellStyle name="Percent 2 4 2" xfId="140"/>
    <cellStyle name="Percent 2 4 2 2" xfId="231"/>
    <cellStyle name="Percent 2 4 2 2 2" xfId="629"/>
    <cellStyle name="Percent 2 4 2 2 2 2" xfId="863"/>
    <cellStyle name="Percent 2 4 2 2 2 2 2" xfId="1704"/>
    <cellStyle name="Percent 2 4 2 2 2 2 2 2" xfId="3374"/>
    <cellStyle name="Percent 2 4 2 2 2 2 3" xfId="2537"/>
    <cellStyle name="Percent 2 4 2 2 2 3" xfId="1470"/>
    <cellStyle name="Percent 2 4 2 2 2 3 2" xfId="3140"/>
    <cellStyle name="Percent 2 4 2 2 2 4" xfId="2303"/>
    <cellStyle name="Percent 2 4 2 2 3" xfId="518"/>
    <cellStyle name="Percent 2 4 2 2 3 2" xfId="1360"/>
    <cellStyle name="Percent 2 4 2 2 3 2 2" xfId="3030"/>
    <cellStyle name="Percent 2 4 2 2 3 3" xfId="2193"/>
    <cellStyle name="Percent 2 4 2 2 4" xfId="753"/>
    <cellStyle name="Percent 2 4 2 2 4 2" xfId="1594"/>
    <cellStyle name="Percent 2 4 2 2 4 2 2" xfId="3264"/>
    <cellStyle name="Percent 2 4 2 2 4 3" xfId="2427"/>
    <cellStyle name="Percent 2 4 2 2 5" xfId="1078"/>
    <cellStyle name="Percent 2 4 2 2 5 2" xfId="2748"/>
    <cellStyle name="Percent 2 4 2 2 6" xfId="3581"/>
    <cellStyle name="Percent 2 4 2 2 7" xfId="1911"/>
    <cellStyle name="Percent 2 4 2 3" xfId="323"/>
    <cellStyle name="Percent 2 4 2 3 2" xfId="577"/>
    <cellStyle name="Percent 2 4 2 3 2 2" xfId="1418"/>
    <cellStyle name="Percent 2 4 2 3 2 2 2" xfId="3088"/>
    <cellStyle name="Percent 2 4 2 3 2 3" xfId="2251"/>
    <cellStyle name="Percent 2 4 2 3 3" xfId="811"/>
    <cellStyle name="Percent 2 4 2 3 3 2" xfId="1652"/>
    <cellStyle name="Percent 2 4 2 3 3 2 2" xfId="3322"/>
    <cellStyle name="Percent 2 4 2 3 3 3" xfId="2485"/>
    <cellStyle name="Percent 2 4 2 3 4" xfId="1170"/>
    <cellStyle name="Percent 2 4 2 3 4 2" xfId="2840"/>
    <cellStyle name="Percent 2 4 2 3 5" xfId="3673"/>
    <cellStyle name="Percent 2 4 2 3 6" xfId="2003"/>
    <cellStyle name="Percent 2 4 2 4" xfId="417"/>
    <cellStyle name="Percent 2 4 2 4 2" xfId="1262"/>
    <cellStyle name="Percent 2 4 2 4 2 2" xfId="2932"/>
    <cellStyle name="Percent 2 4 2 4 3" xfId="3765"/>
    <cellStyle name="Percent 2 4 2 4 4" xfId="2095"/>
    <cellStyle name="Percent 2 4 2 5" xfId="466"/>
    <cellStyle name="Percent 2 4 2 5 2" xfId="1308"/>
    <cellStyle name="Percent 2 4 2 5 2 2" xfId="2978"/>
    <cellStyle name="Percent 2 4 2 5 3" xfId="2141"/>
    <cellStyle name="Percent 2 4 2 6" xfId="701"/>
    <cellStyle name="Percent 2 4 2 6 2" xfId="1542"/>
    <cellStyle name="Percent 2 4 2 6 2 2" xfId="3212"/>
    <cellStyle name="Percent 2 4 2 6 3" xfId="2375"/>
    <cellStyle name="Percent 2 4 2 7" xfId="987"/>
    <cellStyle name="Percent 2 4 2 7 2" xfId="2657"/>
    <cellStyle name="Percent 2 4 2 8" xfId="3490"/>
    <cellStyle name="Percent 2 4 2 9" xfId="1820"/>
    <cellStyle name="Percent 2 4 3" xfId="192"/>
    <cellStyle name="Percent 2 4 3 2" xfId="595"/>
    <cellStyle name="Percent 2 4 3 2 2" xfId="829"/>
    <cellStyle name="Percent 2 4 3 2 2 2" xfId="1670"/>
    <cellStyle name="Percent 2 4 3 2 2 2 2" xfId="3340"/>
    <cellStyle name="Percent 2 4 3 2 2 3" xfId="2503"/>
    <cellStyle name="Percent 2 4 3 2 3" xfId="1436"/>
    <cellStyle name="Percent 2 4 3 2 3 2" xfId="3106"/>
    <cellStyle name="Percent 2 4 3 2 4" xfId="2269"/>
    <cellStyle name="Percent 2 4 3 3" xfId="484"/>
    <cellStyle name="Percent 2 4 3 3 2" xfId="1326"/>
    <cellStyle name="Percent 2 4 3 3 2 2" xfId="2996"/>
    <cellStyle name="Percent 2 4 3 3 3" xfId="2159"/>
    <cellStyle name="Percent 2 4 3 4" xfId="719"/>
    <cellStyle name="Percent 2 4 3 4 2" xfId="1560"/>
    <cellStyle name="Percent 2 4 3 4 2 2" xfId="3230"/>
    <cellStyle name="Percent 2 4 3 4 3" xfId="2393"/>
    <cellStyle name="Percent 2 4 3 5" xfId="1039"/>
    <cellStyle name="Percent 2 4 3 5 2" xfId="2709"/>
    <cellStyle name="Percent 2 4 3 6" xfId="3542"/>
    <cellStyle name="Percent 2 4 3 7" xfId="1872"/>
    <cellStyle name="Percent 2 4 4" xfId="284"/>
    <cellStyle name="Percent 2 4 4 2" xfId="543"/>
    <cellStyle name="Percent 2 4 4 2 2" xfId="1384"/>
    <cellStyle name="Percent 2 4 4 2 2 2" xfId="3054"/>
    <cellStyle name="Percent 2 4 4 2 3" xfId="2217"/>
    <cellStyle name="Percent 2 4 4 3" xfId="777"/>
    <cellStyle name="Percent 2 4 4 3 2" xfId="1618"/>
    <cellStyle name="Percent 2 4 4 3 2 2" xfId="3288"/>
    <cellStyle name="Percent 2 4 4 3 3" xfId="2451"/>
    <cellStyle name="Percent 2 4 4 4" xfId="1131"/>
    <cellStyle name="Percent 2 4 4 4 2" xfId="2801"/>
    <cellStyle name="Percent 2 4 4 5" xfId="3634"/>
    <cellStyle name="Percent 2 4 4 6" xfId="1964"/>
    <cellStyle name="Percent 2 4 5" xfId="378"/>
    <cellStyle name="Percent 2 4 5 2" xfId="1223"/>
    <cellStyle name="Percent 2 4 5 2 2" xfId="2893"/>
    <cellStyle name="Percent 2 4 5 3" xfId="3726"/>
    <cellStyle name="Percent 2 4 5 4" xfId="2056"/>
    <cellStyle name="Percent 2 4 6" xfId="431"/>
    <cellStyle name="Percent 2 4 6 2" xfId="1274"/>
    <cellStyle name="Percent 2 4 6 2 2" xfId="2944"/>
    <cellStyle name="Percent 2 4 6 3" xfId="2107"/>
    <cellStyle name="Percent 2 4 7" xfId="667"/>
    <cellStyle name="Percent 2 4 7 2" xfId="1508"/>
    <cellStyle name="Percent 2 4 7 2 2" xfId="3178"/>
    <cellStyle name="Percent 2 4 7 3" xfId="2341"/>
    <cellStyle name="Percent 2 4 8" xfId="906"/>
    <cellStyle name="Percent 2 4 8 2" xfId="2576"/>
    <cellStyle name="Percent 2 4 9" xfId="3409"/>
    <cellStyle name="Percent 2 5" xfId="38"/>
    <cellStyle name="Percent 2 5 10" xfId="1750"/>
    <cellStyle name="Percent 2 5 2" xfId="141"/>
    <cellStyle name="Percent 2 5 2 2" xfId="232"/>
    <cellStyle name="Percent 2 5 2 2 2" xfId="609"/>
    <cellStyle name="Percent 2 5 2 2 2 2" xfId="1450"/>
    <cellStyle name="Percent 2 5 2 2 2 2 2" xfId="3120"/>
    <cellStyle name="Percent 2 5 2 2 2 3" xfId="2283"/>
    <cellStyle name="Percent 2 5 2 2 3" xfId="843"/>
    <cellStyle name="Percent 2 5 2 2 3 2" xfId="1684"/>
    <cellStyle name="Percent 2 5 2 2 3 2 2" xfId="3354"/>
    <cellStyle name="Percent 2 5 2 2 3 3" xfId="2517"/>
    <cellStyle name="Percent 2 5 2 2 4" xfId="1079"/>
    <cellStyle name="Percent 2 5 2 2 4 2" xfId="2749"/>
    <cellStyle name="Percent 2 5 2 2 5" xfId="3582"/>
    <cellStyle name="Percent 2 5 2 2 6" xfId="1912"/>
    <cellStyle name="Percent 2 5 2 3" xfId="324"/>
    <cellStyle name="Percent 2 5 2 3 2" xfId="1171"/>
    <cellStyle name="Percent 2 5 2 3 2 2" xfId="2841"/>
    <cellStyle name="Percent 2 5 2 3 3" xfId="3674"/>
    <cellStyle name="Percent 2 5 2 3 4" xfId="2004"/>
    <cellStyle name="Percent 2 5 2 4" xfId="418"/>
    <cellStyle name="Percent 2 5 2 4 2" xfId="1263"/>
    <cellStyle name="Percent 2 5 2 4 2 2" xfId="2933"/>
    <cellStyle name="Percent 2 5 2 4 3" xfId="3766"/>
    <cellStyle name="Percent 2 5 2 4 4" xfId="2096"/>
    <cellStyle name="Percent 2 5 2 5" xfId="498"/>
    <cellStyle name="Percent 2 5 2 5 2" xfId="1340"/>
    <cellStyle name="Percent 2 5 2 5 2 2" xfId="3010"/>
    <cellStyle name="Percent 2 5 2 5 3" xfId="2173"/>
    <cellStyle name="Percent 2 5 2 6" xfId="733"/>
    <cellStyle name="Percent 2 5 2 6 2" xfId="1574"/>
    <cellStyle name="Percent 2 5 2 6 2 2" xfId="3244"/>
    <cellStyle name="Percent 2 5 2 6 3" xfId="2407"/>
    <cellStyle name="Percent 2 5 2 7" xfId="988"/>
    <cellStyle name="Percent 2 5 2 7 2" xfId="2658"/>
    <cellStyle name="Percent 2 5 2 8" xfId="3491"/>
    <cellStyle name="Percent 2 5 2 9" xfId="1821"/>
    <cellStyle name="Percent 2 5 3" xfId="193"/>
    <cellStyle name="Percent 2 5 3 2" xfId="557"/>
    <cellStyle name="Percent 2 5 3 2 2" xfId="1398"/>
    <cellStyle name="Percent 2 5 3 2 2 2" xfId="3068"/>
    <cellStyle name="Percent 2 5 3 2 3" xfId="2231"/>
    <cellStyle name="Percent 2 5 3 3" xfId="791"/>
    <cellStyle name="Percent 2 5 3 3 2" xfId="1632"/>
    <cellStyle name="Percent 2 5 3 3 2 2" xfId="3302"/>
    <cellStyle name="Percent 2 5 3 3 3" xfId="2465"/>
    <cellStyle name="Percent 2 5 3 4" xfId="1040"/>
    <cellStyle name="Percent 2 5 3 4 2" xfId="2710"/>
    <cellStyle name="Percent 2 5 3 5" xfId="3543"/>
    <cellStyle name="Percent 2 5 3 6" xfId="1873"/>
    <cellStyle name="Percent 2 5 4" xfId="285"/>
    <cellStyle name="Percent 2 5 4 2" xfId="1132"/>
    <cellStyle name="Percent 2 5 4 2 2" xfId="2802"/>
    <cellStyle name="Percent 2 5 4 3" xfId="3635"/>
    <cellStyle name="Percent 2 5 4 4" xfId="1965"/>
    <cellStyle name="Percent 2 5 5" xfId="379"/>
    <cellStyle name="Percent 2 5 5 2" xfId="1224"/>
    <cellStyle name="Percent 2 5 5 2 2" xfId="2894"/>
    <cellStyle name="Percent 2 5 5 3" xfId="3727"/>
    <cellStyle name="Percent 2 5 5 4" xfId="2057"/>
    <cellStyle name="Percent 2 5 6" xfId="445"/>
    <cellStyle name="Percent 2 5 6 2" xfId="1288"/>
    <cellStyle name="Percent 2 5 6 2 2" xfId="2958"/>
    <cellStyle name="Percent 2 5 6 3" xfId="2121"/>
    <cellStyle name="Percent 2 5 7" xfId="681"/>
    <cellStyle name="Percent 2 5 7 2" xfId="1522"/>
    <cellStyle name="Percent 2 5 7 2 2" xfId="3192"/>
    <cellStyle name="Percent 2 5 7 3" xfId="2355"/>
    <cellStyle name="Percent 2 5 8" xfId="917"/>
    <cellStyle name="Percent 2 5 8 2" xfId="2587"/>
    <cellStyle name="Percent 2 5 9" xfId="3420"/>
    <cellStyle name="Percent 2 6" xfId="106"/>
    <cellStyle name="Percent 2 6 2" xfId="513"/>
    <cellStyle name="Percent 2 6 2 2" xfId="624"/>
    <cellStyle name="Percent 2 6 2 2 2" xfId="858"/>
    <cellStyle name="Percent 2 6 2 2 2 2" xfId="1699"/>
    <cellStyle name="Percent 2 6 2 2 2 2 2" xfId="3369"/>
    <cellStyle name="Percent 2 6 2 2 2 3" xfId="2532"/>
    <cellStyle name="Percent 2 6 2 2 3" xfId="1465"/>
    <cellStyle name="Percent 2 6 2 2 3 2" xfId="3135"/>
    <cellStyle name="Percent 2 6 2 2 4" xfId="2298"/>
    <cellStyle name="Percent 2 6 2 3" xfId="748"/>
    <cellStyle name="Percent 2 6 2 3 2" xfId="1589"/>
    <cellStyle name="Percent 2 6 2 3 2 2" xfId="3259"/>
    <cellStyle name="Percent 2 6 2 3 3" xfId="2422"/>
    <cellStyle name="Percent 2 6 2 4" xfId="1355"/>
    <cellStyle name="Percent 2 6 2 4 2" xfId="3025"/>
    <cellStyle name="Percent 2 6 2 5" xfId="2188"/>
    <cellStyle name="Percent 2 6 3" xfId="572"/>
    <cellStyle name="Percent 2 6 3 2" xfId="806"/>
    <cellStyle name="Percent 2 6 3 2 2" xfId="1647"/>
    <cellStyle name="Percent 2 6 3 2 2 2" xfId="3317"/>
    <cellStyle name="Percent 2 6 3 2 3" xfId="2480"/>
    <cellStyle name="Percent 2 6 3 3" xfId="1413"/>
    <cellStyle name="Percent 2 6 3 3 2" xfId="3083"/>
    <cellStyle name="Percent 2 6 3 4" xfId="2246"/>
    <cellStyle name="Percent 2 6 4" xfId="461"/>
    <cellStyle name="Percent 2 6 4 2" xfId="1303"/>
    <cellStyle name="Percent 2 6 4 2 2" xfId="2973"/>
    <cellStyle name="Percent 2 6 4 3" xfId="2136"/>
    <cellStyle name="Percent 2 6 5" xfId="696"/>
    <cellStyle name="Percent 2 6 5 2" xfId="1537"/>
    <cellStyle name="Percent 2 6 5 2 2" xfId="3207"/>
    <cellStyle name="Percent 2 6 5 3" xfId="2370"/>
    <cellStyle name="Percent 2 7" xfId="479"/>
    <cellStyle name="Percent 2 7 2" xfId="590"/>
    <cellStyle name="Percent 2 7 2 2" xfId="824"/>
    <cellStyle name="Percent 2 7 2 2 2" xfId="1665"/>
    <cellStyle name="Percent 2 7 2 2 2 2" xfId="3335"/>
    <cellStyle name="Percent 2 7 2 2 3" xfId="2498"/>
    <cellStyle name="Percent 2 7 2 3" xfId="1431"/>
    <cellStyle name="Percent 2 7 2 3 2" xfId="3101"/>
    <cellStyle name="Percent 2 7 2 4" xfId="2264"/>
    <cellStyle name="Percent 2 7 3" xfId="714"/>
    <cellStyle name="Percent 2 7 3 2" xfId="1555"/>
    <cellStyle name="Percent 2 7 3 2 2" xfId="3225"/>
    <cellStyle name="Percent 2 7 3 3" xfId="2388"/>
    <cellStyle name="Percent 2 7 4" xfId="1321"/>
    <cellStyle name="Percent 2 7 4 2" xfId="2991"/>
    <cellStyle name="Percent 2 7 5" xfId="2154"/>
    <cellStyle name="Percent 2 8" xfId="426"/>
    <cellStyle name="Percent 2 8 2" xfId="538"/>
    <cellStyle name="Percent 2 8 2 2" xfId="772"/>
    <cellStyle name="Percent 2 8 2 2 2" xfId="1613"/>
    <cellStyle name="Percent 2 8 2 2 2 2" xfId="3283"/>
    <cellStyle name="Percent 2 8 2 2 3" xfId="2446"/>
    <cellStyle name="Percent 2 8 2 3" xfId="1379"/>
    <cellStyle name="Percent 2 8 2 3 2" xfId="3049"/>
    <cellStyle name="Percent 2 8 2 4" xfId="2212"/>
    <cellStyle name="Percent 2 8 3" xfId="662"/>
    <cellStyle name="Percent 2 8 3 2" xfId="1503"/>
    <cellStyle name="Percent 2 8 3 2 2" xfId="3173"/>
    <cellStyle name="Percent 2 8 3 3" xfId="2336"/>
    <cellStyle name="Percent 2 8 4" xfId="1269"/>
    <cellStyle name="Percent 2 8 4 2" xfId="2939"/>
    <cellStyle name="Percent 2 8 5" xfId="2102"/>
    <cellStyle name="Percent 2 9" xfId="535"/>
    <cellStyle name="Percent 2 9 2" xfId="769"/>
    <cellStyle name="Percent 2 9 2 2" xfId="1610"/>
    <cellStyle name="Percent 2 9 2 2 2" xfId="3280"/>
    <cellStyle name="Percent 2 9 2 3" xfId="2443"/>
    <cellStyle name="Percent 2 9 3" xfId="1376"/>
    <cellStyle name="Percent 2 9 3 2" xfId="3046"/>
    <cellStyle name="Percent 2 9 4" xfId="2209"/>
    <cellStyle name="Percent 3" xfId="14"/>
    <cellStyle name="Percent 4" xfId="104"/>
    <cellStyle name="Percent 4 10" xfId="1785"/>
    <cellStyle name="Percent 4 2" xfId="233"/>
    <cellStyle name="Percent 4 2 2" xfId="607"/>
    <cellStyle name="Percent 4 2 2 2" xfId="841"/>
    <cellStyle name="Percent 4 2 2 2 2" xfId="1682"/>
    <cellStyle name="Percent 4 2 2 2 2 2" xfId="3352"/>
    <cellStyle name="Percent 4 2 2 2 3" xfId="2515"/>
    <cellStyle name="Percent 4 2 2 3" xfId="1448"/>
    <cellStyle name="Percent 4 2 2 3 2" xfId="3118"/>
    <cellStyle name="Percent 4 2 2 4" xfId="2281"/>
    <cellStyle name="Percent 4 2 3" xfId="496"/>
    <cellStyle name="Percent 4 2 3 2" xfId="1338"/>
    <cellStyle name="Percent 4 2 3 2 2" xfId="3008"/>
    <cellStyle name="Percent 4 2 3 3" xfId="2171"/>
    <cellStyle name="Percent 4 2 4" xfId="731"/>
    <cellStyle name="Percent 4 2 4 2" xfId="1572"/>
    <cellStyle name="Percent 4 2 4 2 2" xfId="3242"/>
    <cellStyle name="Percent 4 2 4 3" xfId="2405"/>
    <cellStyle name="Percent 4 2 5" xfId="1080"/>
    <cellStyle name="Percent 4 2 5 2" xfId="2750"/>
    <cellStyle name="Percent 4 2 6" xfId="3583"/>
    <cellStyle name="Percent 4 2 7" xfId="1913"/>
    <cellStyle name="Percent 4 3" xfId="325"/>
    <cellStyle name="Percent 4 3 2" xfId="555"/>
    <cellStyle name="Percent 4 3 2 2" xfId="1396"/>
    <cellStyle name="Percent 4 3 2 2 2" xfId="3066"/>
    <cellStyle name="Percent 4 3 2 3" xfId="2229"/>
    <cellStyle name="Percent 4 3 3" xfId="789"/>
    <cellStyle name="Percent 4 3 3 2" xfId="1630"/>
    <cellStyle name="Percent 4 3 3 2 2" xfId="3300"/>
    <cellStyle name="Percent 4 3 3 3" xfId="2463"/>
    <cellStyle name="Percent 4 3 4" xfId="1172"/>
    <cellStyle name="Percent 4 3 4 2" xfId="2842"/>
    <cellStyle name="Percent 4 3 5" xfId="3675"/>
    <cellStyle name="Percent 4 3 6" xfId="2005"/>
    <cellStyle name="Percent 4 4" xfId="419"/>
    <cellStyle name="Percent 4 4 2" xfId="1264"/>
    <cellStyle name="Percent 4 4 2 2" xfId="2934"/>
    <cellStyle name="Percent 4 4 3" xfId="3767"/>
    <cellStyle name="Percent 4 4 4" xfId="2097"/>
    <cellStyle name="Percent 4 5" xfId="443"/>
    <cellStyle name="Percent 4 5 2" xfId="1286"/>
    <cellStyle name="Percent 4 5 2 2" xfId="2956"/>
    <cellStyle name="Percent 4 5 3" xfId="2119"/>
    <cellStyle name="Percent 4 6" xfId="679"/>
    <cellStyle name="Percent 4 6 2" xfId="1520"/>
    <cellStyle name="Percent 4 6 2 2" xfId="3190"/>
    <cellStyle name="Percent 4 6 3" xfId="2353"/>
    <cellStyle name="Percent 4 7" xfId="896"/>
    <cellStyle name="Percent 4 8" xfId="952"/>
    <cellStyle name="Percent 4 8 2" xfId="2622"/>
    <cellStyle name="Percent 4 9" xfId="3455"/>
    <cellStyle name="Percent 5" xfId="157"/>
    <cellStyle name="Percent 5 2" xfId="643"/>
    <cellStyle name="Percent 5 2 2" xfId="877"/>
    <cellStyle name="Percent 5 2 2 2" xfId="1718"/>
    <cellStyle name="Percent 5 2 2 2 2" xfId="3388"/>
    <cellStyle name="Percent 5 2 2 3" xfId="2551"/>
    <cellStyle name="Percent 5 2 3" xfId="1484"/>
    <cellStyle name="Percent 5 2 3 2" xfId="3154"/>
    <cellStyle name="Percent 5 2 4" xfId="2317"/>
    <cellStyle name="Percent 5 3" xfId="533"/>
    <cellStyle name="Percent 5 3 2" xfId="1374"/>
    <cellStyle name="Percent 5 3 2 2" xfId="3044"/>
    <cellStyle name="Percent 5 3 3" xfId="2207"/>
    <cellStyle name="Percent 5 4" xfId="767"/>
    <cellStyle name="Percent 5 4 2" xfId="1608"/>
    <cellStyle name="Percent 5 4 2 2" xfId="3278"/>
    <cellStyle name="Percent 5 4 3" xfId="2441"/>
    <cellStyle name="Percent 5 5" xfId="1004"/>
    <cellStyle name="Percent 5 5 2" xfId="2674"/>
    <cellStyle name="Percent 5 6" xfId="3507"/>
    <cellStyle name="Percent 5 7" xfId="1837"/>
    <cellStyle name="Percent 6" xfId="249"/>
    <cellStyle name="Percent 6 2" xfId="1096"/>
    <cellStyle name="Percent 6 2 2" xfId="2766"/>
    <cellStyle name="Percent 6 3" xfId="3599"/>
    <cellStyle name="Percent 6 4" xfId="1929"/>
    <cellStyle name="Percent 7" xfId="343"/>
    <cellStyle name="Percent 7 2" xfId="1188"/>
    <cellStyle name="Percent 7 2 2" xfId="2858"/>
    <cellStyle name="Percent 7 3" xfId="3691"/>
    <cellStyle name="Percent 7 4" xfId="2021"/>
    <cellStyle name="Percent 8" xfId="902"/>
    <cellStyle name="Percent 8 2" xfId="3769"/>
    <cellStyle name="Percent 8 3" xfId="2572"/>
    <cellStyle name="Title" xfId="61" builtinId="15" customBuiltin="1"/>
    <cellStyle name="Total" xfId="76" builtinId="25" customBuiltin="1"/>
    <cellStyle name="Warning Text" xfId="74" builtinId="11" customBuiltin="1"/>
  </cellStyles>
  <dxfs count="11">
    <dxf>
      <font>
        <color rgb="FF9C0006"/>
      </font>
      <fill>
        <patternFill>
          <bgColor rgb="FFFFC7CE"/>
        </patternFill>
      </fill>
    </dxf>
    <dxf>
      <font>
        <color rgb="FF9C0006"/>
      </font>
      <fill>
        <patternFill>
          <bgColor rgb="FFFFC7CE"/>
        </patternFill>
      </fill>
    </dxf>
    <dxf>
      <numFmt numFmtId="9" formatCode="&quot;$&quot;#,##0_);\(&quot;$&quot;#,##0\)"/>
    </dxf>
    <dxf>
      <numFmt numFmtId="9" formatCode="&quot;$&quot;#,##0_);\(&quot;$&quot;#,##0\)"/>
    </dxf>
    <dxf>
      <numFmt numFmtId="9" formatCode="&quot;$&quot;#,##0_);\(&quot;$&quot;#,##0\)"/>
    </dxf>
    <dxf>
      <numFmt numFmtId="9" formatCode="&quot;$&quot;#,##0_);\(&quot;$&quot;#,##0\)"/>
    </dxf>
    <dxf>
      <numFmt numFmtId="9" formatCode="&quot;$&quot;#,##0_);\(&quot;$&quot;#,##0\)"/>
    </dxf>
    <dxf>
      <numFmt numFmtId="9" formatCode="&quot;$&quot;#,##0_);\(&quot;$&quot;#,##0\)"/>
    </dxf>
    <dxf>
      <numFmt numFmtId="9" formatCode="&quot;$&quot;#,##0_);\(&quot;$&quot;#,##0\)"/>
    </dxf>
    <dxf>
      <fill>
        <patternFill>
          <bgColor theme="4" tint="0.79998168889431442"/>
        </patternFill>
      </fill>
    </dxf>
    <dxf>
      <numFmt numFmtId="9" formatCode="&quot;$&quot;#,##0_);\(&quot;$&quot;#,##0\)"/>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externalLink" Target="externalLinks/externalLink1.xml"/><Relationship Id="rId25" Type="http://schemas.openxmlformats.org/officeDocument/2006/relationships/externalLink" Target="externalLinks/externalLink2.xml"/><Relationship Id="rId26" Type="http://schemas.openxmlformats.org/officeDocument/2006/relationships/externalLink" Target="externalLinks/externalLink3.xml"/><Relationship Id="rId27" Type="http://schemas.openxmlformats.org/officeDocument/2006/relationships/theme" Target="theme/theme1.xml"/><Relationship Id="rId28" Type="http://schemas.openxmlformats.org/officeDocument/2006/relationships/styles" Target="styles.xml"/><Relationship Id="rId29" Type="http://schemas.openxmlformats.org/officeDocument/2006/relationships/sharedStrings" Target="sharedStrings.xml"/><Relationship Id="rId30"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Millcreek Center CRA Tax</a:t>
            </a:r>
            <a:r>
              <a:rPr lang="en-US" baseline="0"/>
              <a:t> Increment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'Tax Increment Graph'!$B$1</c:f>
              <c:strCache>
                <c:ptCount val="1"/>
                <c:pt idx="0">
                  <c:v>Base Year Tax Revenue Retained by Taxing Entities</c:v>
                </c:pt>
              </c:strCache>
            </c:strRef>
          </c:tx>
          <c:spPr>
            <a:solidFill>
              <a:schemeClr val="accent1"/>
            </a:solidFill>
            <a:ln>
              <a:noFill/>
            </a:ln>
            <a:effectLst/>
          </c:spPr>
          <c:invertIfNegative val="0"/>
          <c:cat>
            <c:numRef>
              <c:f>'Tax Increment Graph'!$A$2:$A$26</c:f>
              <c:numCache>
                <c:formatCode>General</c:formatCode>
                <c:ptCount val="25"/>
                <c:pt idx="0">
                  <c:v>2020.0</c:v>
                </c:pt>
                <c:pt idx="1">
                  <c:v>2021.0</c:v>
                </c:pt>
                <c:pt idx="2">
                  <c:v>2022.0</c:v>
                </c:pt>
                <c:pt idx="3">
                  <c:v>2023.0</c:v>
                </c:pt>
                <c:pt idx="4">
                  <c:v>2024.0</c:v>
                </c:pt>
                <c:pt idx="5">
                  <c:v>2025.0</c:v>
                </c:pt>
                <c:pt idx="6">
                  <c:v>2026.0</c:v>
                </c:pt>
                <c:pt idx="7">
                  <c:v>2027.0</c:v>
                </c:pt>
                <c:pt idx="8">
                  <c:v>2028.0</c:v>
                </c:pt>
                <c:pt idx="9">
                  <c:v>2029.0</c:v>
                </c:pt>
                <c:pt idx="10">
                  <c:v>2030.0</c:v>
                </c:pt>
                <c:pt idx="11">
                  <c:v>2031.0</c:v>
                </c:pt>
                <c:pt idx="12">
                  <c:v>2032.0</c:v>
                </c:pt>
                <c:pt idx="13">
                  <c:v>2033.0</c:v>
                </c:pt>
                <c:pt idx="14">
                  <c:v>2034.0</c:v>
                </c:pt>
                <c:pt idx="15">
                  <c:v>2035.0</c:v>
                </c:pt>
                <c:pt idx="16">
                  <c:v>2036.0</c:v>
                </c:pt>
                <c:pt idx="17">
                  <c:v>2037.0</c:v>
                </c:pt>
                <c:pt idx="18">
                  <c:v>2038.0</c:v>
                </c:pt>
                <c:pt idx="19">
                  <c:v>2039.0</c:v>
                </c:pt>
                <c:pt idx="20">
                  <c:v>2040.0</c:v>
                </c:pt>
                <c:pt idx="21">
                  <c:v>2041.0</c:v>
                </c:pt>
                <c:pt idx="22">
                  <c:v>2042.0</c:v>
                </c:pt>
                <c:pt idx="23">
                  <c:v>2043.0</c:v>
                </c:pt>
                <c:pt idx="24">
                  <c:v>2044.0</c:v>
                </c:pt>
              </c:numCache>
            </c:numRef>
          </c:cat>
          <c:val>
            <c:numRef>
              <c:f>'Tax Increment Graph'!$B$2:$B$26</c:f>
              <c:numCache>
                <c:formatCode>"$"#,##0</c:formatCode>
                <c:ptCount val="25"/>
                <c:pt idx="0">
                  <c:v>1.9560718837491E6</c:v>
                </c:pt>
                <c:pt idx="1">
                  <c:v>1.9560718837491E6</c:v>
                </c:pt>
                <c:pt idx="2">
                  <c:v>1.9560718837491E6</c:v>
                </c:pt>
                <c:pt idx="3">
                  <c:v>1.9560718837491E6</c:v>
                </c:pt>
                <c:pt idx="4">
                  <c:v>1.9560718837491E6</c:v>
                </c:pt>
                <c:pt idx="5">
                  <c:v>1.9560718837491E6</c:v>
                </c:pt>
                <c:pt idx="6">
                  <c:v>1.9560718837491E6</c:v>
                </c:pt>
                <c:pt idx="7">
                  <c:v>1.9560718837491E6</c:v>
                </c:pt>
                <c:pt idx="8">
                  <c:v>1.9560718837491E6</c:v>
                </c:pt>
                <c:pt idx="9">
                  <c:v>1.9560718837491E6</c:v>
                </c:pt>
                <c:pt idx="10">
                  <c:v>1.9560718837491E6</c:v>
                </c:pt>
                <c:pt idx="11">
                  <c:v>1.9560718837491E6</c:v>
                </c:pt>
                <c:pt idx="12">
                  <c:v>1.9560718837491E6</c:v>
                </c:pt>
                <c:pt idx="13">
                  <c:v>1.9560718837491E6</c:v>
                </c:pt>
                <c:pt idx="14">
                  <c:v>1.9560718837491E6</c:v>
                </c:pt>
                <c:pt idx="15">
                  <c:v>1.9560718837491E6</c:v>
                </c:pt>
                <c:pt idx="16">
                  <c:v>1.9560718837491E6</c:v>
                </c:pt>
                <c:pt idx="17">
                  <c:v>1.9560718837491E6</c:v>
                </c:pt>
                <c:pt idx="18">
                  <c:v>1.9560718837491E6</c:v>
                </c:pt>
                <c:pt idx="19">
                  <c:v>1.9560718837491E6</c:v>
                </c:pt>
                <c:pt idx="20">
                  <c:v>1.9560718837491E6</c:v>
                </c:pt>
                <c:pt idx="21">
                  <c:v>1.9560718837491E6</c:v>
                </c:pt>
                <c:pt idx="22">
                  <c:v>1.9560718837491E6</c:v>
                </c:pt>
                <c:pt idx="23">
                  <c:v>1.9560718837491E6</c:v>
                </c:pt>
                <c:pt idx="24">
                  <c:v>1.9560718837491E6</c:v>
                </c:pt>
              </c:numCache>
            </c:numRef>
          </c:val>
          <c:extLst xmlns:c16r2="http://schemas.microsoft.com/office/drawing/2015/06/chart">
            <c:ext xmlns:c16="http://schemas.microsoft.com/office/drawing/2014/chart" uri="{C3380CC4-5D6E-409C-BE32-E72D297353CC}">
              <c16:uniqueId val="{00000000-A98C-4D50-83D7-10EED89F9270}"/>
            </c:ext>
          </c:extLst>
        </c:ser>
        <c:ser>
          <c:idx val="1"/>
          <c:order val="1"/>
          <c:tx>
            <c:strRef>
              <c:f>'Tax Increment Graph'!$C$1</c:f>
              <c:strCache>
                <c:ptCount val="1"/>
                <c:pt idx="0">
                  <c:v>New Growth Portion to Taxing Entities</c:v>
                </c:pt>
              </c:strCache>
            </c:strRef>
          </c:tx>
          <c:spPr>
            <a:solidFill>
              <a:schemeClr val="accent2"/>
            </a:solidFill>
            <a:ln>
              <a:noFill/>
            </a:ln>
            <a:effectLst/>
          </c:spPr>
          <c:invertIfNegative val="0"/>
          <c:cat>
            <c:numRef>
              <c:f>'Tax Increment Graph'!$A$2:$A$26</c:f>
              <c:numCache>
                <c:formatCode>General</c:formatCode>
                <c:ptCount val="25"/>
                <c:pt idx="0">
                  <c:v>2020.0</c:v>
                </c:pt>
                <c:pt idx="1">
                  <c:v>2021.0</c:v>
                </c:pt>
                <c:pt idx="2">
                  <c:v>2022.0</c:v>
                </c:pt>
                <c:pt idx="3">
                  <c:v>2023.0</c:v>
                </c:pt>
                <c:pt idx="4">
                  <c:v>2024.0</c:v>
                </c:pt>
                <c:pt idx="5">
                  <c:v>2025.0</c:v>
                </c:pt>
                <c:pt idx="6">
                  <c:v>2026.0</c:v>
                </c:pt>
                <c:pt idx="7">
                  <c:v>2027.0</c:v>
                </c:pt>
                <c:pt idx="8">
                  <c:v>2028.0</c:v>
                </c:pt>
                <c:pt idx="9">
                  <c:v>2029.0</c:v>
                </c:pt>
                <c:pt idx="10">
                  <c:v>2030.0</c:v>
                </c:pt>
                <c:pt idx="11">
                  <c:v>2031.0</c:v>
                </c:pt>
                <c:pt idx="12">
                  <c:v>2032.0</c:v>
                </c:pt>
                <c:pt idx="13">
                  <c:v>2033.0</c:v>
                </c:pt>
                <c:pt idx="14">
                  <c:v>2034.0</c:v>
                </c:pt>
                <c:pt idx="15">
                  <c:v>2035.0</c:v>
                </c:pt>
                <c:pt idx="16">
                  <c:v>2036.0</c:v>
                </c:pt>
                <c:pt idx="17">
                  <c:v>2037.0</c:v>
                </c:pt>
                <c:pt idx="18">
                  <c:v>2038.0</c:v>
                </c:pt>
                <c:pt idx="19">
                  <c:v>2039.0</c:v>
                </c:pt>
                <c:pt idx="20">
                  <c:v>2040.0</c:v>
                </c:pt>
                <c:pt idx="21">
                  <c:v>2041.0</c:v>
                </c:pt>
                <c:pt idx="22">
                  <c:v>2042.0</c:v>
                </c:pt>
                <c:pt idx="23">
                  <c:v>2043.0</c:v>
                </c:pt>
                <c:pt idx="24">
                  <c:v>2044.0</c:v>
                </c:pt>
              </c:numCache>
            </c:numRef>
          </c:cat>
          <c:val>
            <c:numRef>
              <c:f>'Tax Increment Graph'!$C$2:$C$26</c:f>
              <c:numCache>
                <c:formatCode>"$"#,##0</c:formatCode>
                <c:ptCount val="25"/>
                <c:pt idx="20">
                  <c:v>2.73606455425021E6</c:v>
                </c:pt>
                <c:pt idx="21">
                  <c:v>2.73606455425021E6</c:v>
                </c:pt>
                <c:pt idx="22">
                  <c:v>2.73606455425021E6</c:v>
                </c:pt>
                <c:pt idx="23">
                  <c:v>2.73606455425021E6</c:v>
                </c:pt>
                <c:pt idx="24">
                  <c:v>2.73606455425021E6</c:v>
                </c:pt>
              </c:numCache>
            </c:numRef>
          </c:val>
          <c:extLst xmlns:c16r2="http://schemas.microsoft.com/office/drawing/2015/06/chart">
            <c:ext xmlns:c16="http://schemas.microsoft.com/office/drawing/2014/chart" uri="{C3380CC4-5D6E-409C-BE32-E72D297353CC}">
              <c16:uniqueId val="{00000001-A98C-4D50-83D7-10EED89F9270}"/>
            </c:ext>
          </c:extLst>
        </c:ser>
        <c:ser>
          <c:idx val="2"/>
          <c:order val="2"/>
          <c:tx>
            <c:strRef>
              <c:f>'Tax Increment Graph'!$D$1</c:f>
              <c:strCache>
                <c:ptCount val="1"/>
                <c:pt idx="0">
                  <c:v>New Increment Retained by Taxing Entities</c:v>
                </c:pt>
              </c:strCache>
            </c:strRef>
          </c:tx>
          <c:spPr>
            <a:solidFill>
              <a:schemeClr val="accent3"/>
            </a:solidFill>
            <a:ln>
              <a:noFill/>
            </a:ln>
            <a:effectLst/>
          </c:spPr>
          <c:invertIfNegative val="0"/>
          <c:cat>
            <c:numRef>
              <c:f>'Tax Increment Graph'!$A$2:$A$26</c:f>
              <c:numCache>
                <c:formatCode>General</c:formatCode>
                <c:ptCount val="25"/>
                <c:pt idx="0">
                  <c:v>2020.0</c:v>
                </c:pt>
                <c:pt idx="1">
                  <c:v>2021.0</c:v>
                </c:pt>
                <c:pt idx="2">
                  <c:v>2022.0</c:v>
                </c:pt>
                <c:pt idx="3">
                  <c:v>2023.0</c:v>
                </c:pt>
                <c:pt idx="4">
                  <c:v>2024.0</c:v>
                </c:pt>
                <c:pt idx="5">
                  <c:v>2025.0</c:v>
                </c:pt>
                <c:pt idx="6">
                  <c:v>2026.0</c:v>
                </c:pt>
                <c:pt idx="7">
                  <c:v>2027.0</c:v>
                </c:pt>
                <c:pt idx="8">
                  <c:v>2028.0</c:v>
                </c:pt>
                <c:pt idx="9">
                  <c:v>2029.0</c:v>
                </c:pt>
                <c:pt idx="10">
                  <c:v>2030.0</c:v>
                </c:pt>
                <c:pt idx="11">
                  <c:v>2031.0</c:v>
                </c:pt>
                <c:pt idx="12">
                  <c:v>2032.0</c:v>
                </c:pt>
                <c:pt idx="13">
                  <c:v>2033.0</c:v>
                </c:pt>
                <c:pt idx="14">
                  <c:v>2034.0</c:v>
                </c:pt>
                <c:pt idx="15">
                  <c:v>2035.0</c:v>
                </c:pt>
                <c:pt idx="16">
                  <c:v>2036.0</c:v>
                </c:pt>
                <c:pt idx="17">
                  <c:v>2037.0</c:v>
                </c:pt>
                <c:pt idx="18">
                  <c:v>2038.0</c:v>
                </c:pt>
                <c:pt idx="19">
                  <c:v>2039.0</c:v>
                </c:pt>
                <c:pt idx="20">
                  <c:v>2040.0</c:v>
                </c:pt>
                <c:pt idx="21">
                  <c:v>2041.0</c:v>
                </c:pt>
                <c:pt idx="22">
                  <c:v>2042.0</c:v>
                </c:pt>
                <c:pt idx="23">
                  <c:v>2043.0</c:v>
                </c:pt>
                <c:pt idx="24">
                  <c:v>2044.0</c:v>
                </c:pt>
              </c:numCache>
            </c:numRef>
          </c:cat>
          <c:val>
            <c:numRef>
              <c:f>'Tax Increment Graph'!$D$2:$D$26</c:f>
              <c:numCache>
                <c:formatCode>"$"#,##0</c:formatCode>
                <c:ptCount val="25"/>
                <c:pt idx="0">
                  <c:v>104492.5470480184</c:v>
                </c:pt>
                <c:pt idx="1">
                  <c:v>212798.0844628833</c:v>
                </c:pt>
                <c:pt idx="2">
                  <c:v>234950.6748437194</c:v>
                </c:pt>
                <c:pt idx="3">
                  <c:v>272576.7901268842</c:v>
                </c:pt>
                <c:pt idx="4">
                  <c:v>306460.3391027607</c:v>
                </c:pt>
                <c:pt idx="5">
                  <c:v>343633.6475358077</c:v>
                </c:pt>
                <c:pt idx="6">
                  <c:v>370920.2005691113</c:v>
                </c:pt>
                <c:pt idx="7">
                  <c:v>398888.7038585126</c:v>
                </c:pt>
                <c:pt idx="8">
                  <c:v>428284.9330980456</c:v>
                </c:pt>
                <c:pt idx="9">
                  <c:v>460622.43490362</c:v>
                </c:pt>
                <c:pt idx="10">
                  <c:v>503346.9866718374</c:v>
                </c:pt>
                <c:pt idx="11">
                  <c:v>536733.3859051496</c:v>
                </c:pt>
                <c:pt idx="12">
                  <c:v>570826.774604827</c:v>
                </c:pt>
                <c:pt idx="13">
                  <c:v>570826.774604827</c:v>
                </c:pt>
                <c:pt idx="14">
                  <c:v>570826.774604827</c:v>
                </c:pt>
                <c:pt idx="15">
                  <c:v>570826.774604827</c:v>
                </c:pt>
                <c:pt idx="16">
                  <c:v>570826.774604827</c:v>
                </c:pt>
                <c:pt idx="17">
                  <c:v>570826.774604827</c:v>
                </c:pt>
                <c:pt idx="18">
                  <c:v>570826.774604827</c:v>
                </c:pt>
                <c:pt idx="19">
                  <c:v>570826.774604827</c:v>
                </c:pt>
              </c:numCache>
            </c:numRef>
          </c:val>
          <c:extLst xmlns:c16r2="http://schemas.microsoft.com/office/drawing/2015/06/chart">
            <c:ext xmlns:c16="http://schemas.microsoft.com/office/drawing/2014/chart" uri="{C3380CC4-5D6E-409C-BE32-E72D297353CC}">
              <c16:uniqueId val="{00000002-A98C-4D50-83D7-10EED89F9270}"/>
            </c:ext>
          </c:extLst>
        </c:ser>
        <c:ser>
          <c:idx val="3"/>
          <c:order val="3"/>
          <c:tx>
            <c:strRef>
              <c:f>'Tax Increment Graph'!$E$1</c:f>
              <c:strCache>
                <c:ptCount val="1"/>
                <c:pt idx="0">
                  <c:v>New Increment to RDA</c:v>
                </c:pt>
              </c:strCache>
            </c:strRef>
          </c:tx>
          <c:spPr>
            <a:solidFill>
              <a:schemeClr val="accent4"/>
            </a:solidFill>
            <a:ln>
              <a:noFill/>
            </a:ln>
            <a:effectLst/>
          </c:spPr>
          <c:invertIfNegative val="0"/>
          <c:cat>
            <c:numRef>
              <c:f>'Tax Increment Graph'!$A$2:$A$26</c:f>
              <c:numCache>
                <c:formatCode>General</c:formatCode>
                <c:ptCount val="25"/>
                <c:pt idx="0">
                  <c:v>2020.0</c:v>
                </c:pt>
                <c:pt idx="1">
                  <c:v>2021.0</c:v>
                </c:pt>
                <c:pt idx="2">
                  <c:v>2022.0</c:v>
                </c:pt>
                <c:pt idx="3">
                  <c:v>2023.0</c:v>
                </c:pt>
                <c:pt idx="4">
                  <c:v>2024.0</c:v>
                </c:pt>
                <c:pt idx="5">
                  <c:v>2025.0</c:v>
                </c:pt>
                <c:pt idx="6">
                  <c:v>2026.0</c:v>
                </c:pt>
                <c:pt idx="7">
                  <c:v>2027.0</c:v>
                </c:pt>
                <c:pt idx="8">
                  <c:v>2028.0</c:v>
                </c:pt>
                <c:pt idx="9">
                  <c:v>2029.0</c:v>
                </c:pt>
                <c:pt idx="10">
                  <c:v>2030.0</c:v>
                </c:pt>
                <c:pt idx="11">
                  <c:v>2031.0</c:v>
                </c:pt>
                <c:pt idx="12">
                  <c:v>2032.0</c:v>
                </c:pt>
                <c:pt idx="13">
                  <c:v>2033.0</c:v>
                </c:pt>
                <c:pt idx="14">
                  <c:v>2034.0</c:v>
                </c:pt>
                <c:pt idx="15">
                  <c:v>2035.0</c:v>
                </c:pt>
                <c:pt idx="16">
                  <c:v>2036.0</c:v>
                </c:pt>
                <c:pt idx="17">
                  <c:v>2037.0</c:v>
                </c:pt>
                <c:pt idx="18">
                  <c:v>2038.0</c:v>
                </c:pt>
                <c:pt idx="19">
                  <c:v>2039.0</c:v>
                </c:pt>
                <c:pt idx="20">
                  <c:v>2040.0</c:v>
                </c:pt>
                <c:pt idx="21">
                  <c:v>2041.0</c:v>
                </c:pt>
                <c:pt idx="22">
                  <c:v>2042.0</c:v>
                </c:pt>
                <c:pt idx="23">
                  <c:v>2043.0</c:v>
                </c:pt>
                <c:pt idx="24">
                  <c:v>2044.0</c:v>
                </c:pt>
              </c:numCache>
            </c:numRef>
          </c:cat>
          <c:val>
            <c:numRef>
              <c:f>'Tax Increment Graph'!$E$2:$E$26</c:f>
              <c:numCache>
                <c:formatCode>"$"#,##0</c:formatCode>
                <c:ptCount val="25"/>
                <c:pt idx="0">
                  <c:v>396357.0396927715</c:v>
                </c:pt>
                <c:pt idx="1">
                  <c:v>807177.3652071233</c:v>
                </c:pt>
                <c:pt idx="2">
                  <c:v>891205.7040018492</c:v>
                </c:pt>
                <c:pt idx="3">
                  <c:v>1.03392761183247E6</c:v>
                </c:pt>
                <c:pt idx="4">
                  <c:v>1.16245336362788E6</c:v>
                </c:pt>
                <c:pt idx="5">
                  <c:v>1.3034577022372E6</c:v>
                </c:pt>
                <c:pt idx="6">
                  <c:v>1.40695998722533E6</c:v>
                </c:pt>
                <c:pt idx="7">
                  <c:v>1.51304901923381E6</c:v>
                </c:pt>
                <c:pt idx="8">
                  <c:v>1.62455364543607E6</c:v>
                </c:pt>
                <c:pt idx="9">
                  <c:v>1.74721499161636E6</c:v>
                </c:pt>
                <c:pt idx="10">
                  <c:v>1.90927608917262E6</c:v>
                </c:pt>
                <c:pt idx="11">
                  <c:v>2.03591607202265E6</c:v>
                </c:pt>
                <c:pt idx="12">
                  <c:v>2.16523777964539E6</c:v>
                </c:pt>
                <c:pt idx="13">
                  <c:v>2.16523777964539E6</c:v>
                </c:pt>
                <c:pt idx="14">
                  <c:v>2.16523777964539E6</c:v>
                </c:pt>
                <c:pt idx="15">
                  <c:v>2.16523777964539E6</c:v>
                </c:pt>
                <c:pt idx="16">
                  <c:v>2.16523777964539E6</c:v>
                </c:pt>
                <c:pt idx="17">
                  <c:v>2.16523777964539E6</c:v>
                </c:pt>
                <c:pt idx="18">
                  <c:v>2.16523777964539E6</c:v>
                </c:pt>
                <c:pt idx="19">
                  <c:v>2.16523777964539E6</c:v>
                </c:pt>
              </c:numCache>
            </c:numRef>
          </c:val>
          <c:extLst xmlns:c16r2="http://schemas.microsoft.com/office/drawing/2015/06/chart">
            <c:ext xmlns:c16="http://schemas.microsoft.com/office/drawing/2014/chart" uri="{C3380CC4-5D6E-409C-BE32-E72D297353CC}">
              <c16:uniqueId val="{00000003-A98C-4D50-83D7-10EED89F9270}"/>
            </c:ext>
          </c:extLst>
        </c:ser>
        <c:dLbls>
          <c:showLegendKey val="0"/>
          <c:showVal val="0"/>
          <c:showCatName val="0"/>
          <c:showSerName val="0"/>
          <c:showPercent val="0"/>
          <c:showBubbleSize val="0"/>
        </c:dLbls>
        <c:gapWidth val="150"/>
        <c:overlap val="100"/>
        <c:axId val="145532032"/>
        <c:axId val="145534320"/>
      </c:barChart>
      <c:catAx>
        <c:axId val="14553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534320"/>
        <c:crosses val="autoZero"/>
        <c:auto val="1"/>
        <c:lblAlgn val="ctr"/>
        <c:lblOffset val="100"/>
        <c:noMultiLvlLbl val="0"/>
      </c:catAx>
      <c:valAx>
        <c:axId val="1455343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532032"/>
        <c:crosses val="autoZero"/>
        <c:crossBetween val="between"/>
      </c:valAx>
      <c:spPr>
        <a:noFill/>
        <a:ln>
          <a:noFill/>
        </a:ln>
        <a:effectLst/>
      </c:spPr>
    </c:plotArea>
    <c:legend>
      <c:legendPos val="b"/>
      <c:layout>
        <c:manualLayout>
          <c:xMode val="edge"/>
          <c:yMode val="edge"/>
          <c:x val="0.280907118248637"/>
          <c:y val="0.748632158685083"/>
          <c:w val="0.558627657418529"/>
          <c:h val="0.220001574803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trendline>
            <c:trendlineType val="linear"/>
            <c:dispRSqr val="1"/>
            <c:dispEq val="0"/>
            <c:trendlineLbl>
              <c:layout>
                <c:manualLayout>
                  <c:x val="0.135947287839032"/>
                  <c:y val="0.166757801108195"/>
                </c:manualLayout>
              </c:layout>
              <c:numFmt formatCode="General" sourceLinked="0"/>
            </c:trendlineLbl>
          </c:trendline>
          <c:val>
            <c:numRef>
              <c:f>'Telecom Data'!$D$5:$D$34</c:f>
              <c:numCache>
                <c:formatCode>0.0%</c:formatCode>
                <c:ptCount val="30"/>
                <c:pt idx="0">
                  <c:v>0.0416666666666667</c:v>
                </c:pt>
                <c:pt idx="1">
                  <c:v>0.106666666666667</c:v>
                </c:pt>
                <c:pt idx="2">
                  <c:v>0.0481927710843373</c:v>
                </c:pt>
                <c:pt idx="3">
                  <c:v>0.0459770114942528</c:v>
                </c:pt>
                <c:pt idx="4">
                  <c:v>0.0351648351648353</c:v>
                </c:pt>
                <c:pt idx="5">
                  <c:v>0.059447983014862</c:v>
                </c:pt>
                <c:pt idx="6">
                  <c:v>0.0761523046092185</c:v>
                </c:pt>
                <c:pt idx="7">
                  <c:v>0.0558659217877095</c:v>
                </c:pt>
                <c:pt idx="8">
                  <c:v>0.0440917107583774</c:v>
                </c:pt>
                <c:pt idx="9">
                  <c:v>0.0439189189189188</c:v>
                </c:pt>
                <c:pt idx="10">
                  <c:v>0.00809061488673146</c:v>
                </c:pt>
                <c:pt idx="11">
                  <c:v>0.0561797752808988</c:v>
                </c:pt>
                <c:pt idx="12">
                  <c:v>0.0486322188449848</c:v>
                </c:pt>
                <c:pt idx="13">
                  <c:v>0.0260869565217392</c:v>
                </c:pt>
                <c:pt idx="14">
                  <c:v>0.0903954802259887</c:v>
                </c:pt>
                <c:pt idx="15">
                  <c:v>0.0479274611398963</c:v>
                </c:pt>
                <c:pt idx="16">
                  <c:v>0.0259579728059331</c:v>
                </c:pt>
                <c:pt idx="17">
                  <c:v>0.0228915662650602</c:v>
                </c:pt>
                <c:pt idx="18">
                  <c:v>0.032979976442874</c:v>
                </c:pt>
                <c:pt idx="19">
                  <c:v>0.0421892816419613</c:v>
                </c:pt>
                <c:pt idx="20">
                  <c:v>0.0470459518599562</c:v>
                </c:pt>
                <c:pt idx="21">
                  <c:v>-0.00104493207941481</c:v>
                </c:pt>
                <c:pt idx="22">
                  <c:v>0.0355648535564854</c:v>
                </c:pt>
                <c:pt idx="23">
                  <c:v>0.0585858585858585</c:v>
                </c:pt>
                <c:pt idx="24">
                  <c:v>0.0372137404580153</c:v>
                </c:pt>
                <c:pt idx="25">
                  <c:v>0.02</c:v>
                </c:pt>
                <c:pt idx="26">
                  <c:v>0.04</c:v>
                </c:pt>
              </c:numCache>
            </c:numRef>
          </c:val>
          <c:smooth val="0"/>
          <c:extLst xmlns:c16r2="http://schemas.microsoft.com/office/drawing/2015/06/chart">
            <c:ext xmlns:c16="http://schemas.microsoft.com/office/drawing/2014/chart" uri="{C3380CC4-5D6E-409C-BE32-E72D297353CC}">
              <c16:uniqueId val="{00000001-CE98-4038-AD66-283AFFE556E0}"/>
            </c:ext>
          </c:extLst>
        </c:ser>
        <c:dLbls>
          <c:showLegendKey val="0"/>
          <c:showVal val="0"/>
          <c:showCatName val="0"/>
          <c:showSerName val="0"/>
          <c:showPercent val="0"/>
          <c:showBubbleSize val="0"/>
        </c:dLbls>
        <c:smooth val="0"/>
        <c:axId val="150627264"/>
        <c:axId val="150629584"/>
      </c:lineChart>
      <c:catAx>
        <c:axId val="150627264"/>
        <c:scaling>
          <c:orientation val="minMax"/>
        </c:scaling>
        <c:delete val="0"/>
        <c:axPos val="b"/>
        <c:majorTickMark val="out"/>
        <c:minorTickMark val="none"/>
        <c:tickLblPos val="nextTo"/>
        <c:crossAx val="150629584"/>
        <c:crosses val="autoZero"/>
        <c:auto val="1"/>
        <c:lblAlgn val="ctr"/>
        <c:lblOffset val="100"/>
        <c:noMultiLvlLbl val="0"/>
      </c:catAx>
      <c:valAx>
        <c:axId val="150629584"/>
        <c:scaling>
          <c:orientation val="minMax"/>
        </c:scaling>
        <c:delete val="0"/>
        <c:axPos val="l"/>
        <c:majorGridlines/>
        <c:numFmt formatCode="0.0%" sourceLinked="1"/>
        <c:majorTickMark val="out"/>
        <c:minorTickMark val="none"/>
        <c:tickLblPos val="nextTo"/>
        <c:crossAx val="150627264"/>
        <c:crosses val="autoZero"/>
        <c:crossBetween val="between"/>
      </c:valAx>
    </c:plotArea>
    <c:legend>
      <c:legendPos val="r"/>
      <c:overlay val="0"/>
    </c:legend>
    <c:plotVisOnly val="1"/>
    <c:dispBlanksAs val="gap"/>
    <c:showDLblsOverMax val="0"/>
  </c:chart>
  <c:printSettings>
    <c:headerFooter/>
    <c:pageMargins b="0.750000000000015" l="0.700000000000001" r="0.700000000000001" t="0.75000000000001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161924</xdr:colOff>
      <xdr:row>1</xdr:row>
      <xdr:rowOff>47625</xdr:rowOff>
    </xdr:from>
    <xdr:to>
      <xdr:col>14</xdr:col>
      <xdr:colOff>342899</xdr:colOff>
      <xdr:row>19</xdr:row>
      <xdr:rowOff>104775</xdr:rowOff>
    </xdr:to>
    <xdr:graphicFrame macro="">
      <xdr:nvGraphicFramePr>
        <xdr:cNvPr id="5" name="Chart 4">
          <a:extLst>
            <a:ext uri="{FF2B5EF4-FFF2-40B4-BE49-F238E27FC236}">
              <a16:creationId xmlns:a16="http://schemas.microsoft.com/office/drawing/2014/main" xmlns=""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13</xdr:row>
      <xdr:rowOff>114300</xdr:rowOff>
    </xdr:from>
    <xdr:to>
      <xdr:col>12</xdr:col>
      <xdr:colOff>76200</xdr:colOff>
      <xdr:row>30</xdr:row>
      <xdr:rowOff>104775</xdr:rowOff>
    </xdr:to>
    <xdr:graphicFrame macro="">
      <xdr:nvGraphicFramePr>
        <xdr:cNvPr id="2" name="Chart 1">
          <a:extLst>
            <a:ext uri="{FF2B5EF4-FFF2-40B4-BE49-F238E27FC236}">
              <a16:creationId xmlns:a16="http://schemas.microsoft.com/office/drawing/2014/main" xmlns=""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23</xdr:col>
      <xdr:colOff>0</xdr:colOff>
      <xdr:row>6</xdr:row>
      <xdr:rowOff>19050</xdr:rowOff>
    </xdr:from>
    <xdr:to>
      <xdr:col>23</xdr:col>
      <xdr:colOff>0</xdr:colOff>
      <xdr:row>7</xdr:row>
      <xdr:rowOff>142875</xdr:rowOff>
    </xdr:to>
    <xdr:sp macro="" textlink="">
      <xdr:nvSpPr>
        <xdr:cNvPr id="10" name="Text Box 73">
          <a:extLst>
            <a:ext uri="{FF2B5EF4-FFF2-40B4-BE49-F238E27FC236}">
              <a16:creationId xmlns:a16="http://schemas.microsoft.com/office/drawing/2014/main" xmlns="" id="{00000000-0008-0000-1200-00000A000000}"/>
            </a:ext>
          </a:extLst>
        </xdr:cNvPr>
        <xdr:cNvSpPr txBox="1">
          <a:spLocks noChangeArrowheads="1"/>
        </xdr:cNvSpPr>
      </xdr:nvSpPr>
      <xdr:spPr bwMode="auto">
        <a:xfrm>
          <a:off x="10877550" y="1209675"/>
          <a:ext cx="0" cy="495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800" b="1" i="0" strike="noStrike">
              <a:solidFill>
                <a:srgbClr val="000000"/>
              </a:solidFill>
              <a:latin typeface="Times New Roman"/>
              <a:cs typeface="Times New Roman"/>
            </a:rPr>
            <a:t>(a) Tax is collected locally</a:t>
          </a:r>
        </a:p>
        <a:p>
          <a:pPr algn="l" rtl="0">
            <a:defRPr sz="1000"/>
          </a:pPr>
          <a:r>
            <a:rPr lang="en-US" sz="800" b="1" i="0" strike="noStrike">
              <a:solidFill>
                <a:srgbClr val="000000"/>
              </a:solidFill>
              <a:latin typeface="Times New Roman"/>
              <a:cs typeface="Times New Roman"/>
            </a:rPr>
            <a:t>(b) Taxing entity is not an incorporated city or town</a:t>
          </a:r>
        </a:p>
      </xdr:txBody>
    </xdr:sp>
    <xdr:clientData/>
  </xdr:twoCellAnchor>
  <xdr:twoCellAnchor>
    <xdr:from>
      <xdr:col>13</xdr:col>
      <xdr:colOff>457200</xdr:colOff>
      <xdr:row>1</xdr:row>
      <xdr:rowOff>0</xdr:rowOff>
    </xdr:from>
    <xdr:to>
      <xdr:col>13</xdr:col>
      <xdr:colOff>457200</xdr:colOff>
      <xdr:row>8</xdr:row>
      <xdr:rowOff>0</xdr:rowOff>
    </xdr:to>
    <xdr:sp macro="" textlink="">
      <xdr:nvSpPr>
        <xdr:cNvPr id="11" name="Line 74">
          <a:extLst>
            <a:ext uri="{FF2B5EF4-FFF2-40B4-BE49-F238E27FC236}">
              <a16:creationId xmlns:a16="http://schemas.microsoft.com/office/drawing/2014/main" xmlns="" id="{00000000-0008-0000-1200-00000B000000}"/>
            </a:ext>
          </a:extLst>
        </xdr:cNvPr>
        <xdr:cNvSpPr>
          <a:spLocks noChangeShapeType="1"/>
        </xdr:cNvSpPr>
      </xdr:nvSpPr>
      <xdr:spPr bwMode="auto">
        <a:xfrm>
          <a:off x="6534150" y="171450"/>
          <a:ext cx="0" cy="1666875"/>
        </a:xfrm>
        <a:prstGeom prst="line">
          <a:avLst/>
        </a:prstGeom>
        <a:noFill/>
        <a:ln w="19050">
          <a:solidFill>
            <a:srgbClr val="000000"/>
          </a:solidFill>
          <a:round/>
          <a:headEnd/>
          <a:tailEnd/>
        </a:ln>
      </xdr:spPr>
    </xdr:sp>
    <xdr:clientData/>
  </xdr:twoCellAnchor>
  <xdr:twoCellAnchor>
    <xdr:from>
      <xdr:col>23</xdr:col>
      <xdr:colOff>0</xdr:colOff>
      <xdr:row>1</xdr:row>
      <xdr:rowOff>95250</xdr:rowOff>
    </xdr:from>
    <xdr:to>
      <xdr:col>23</xdr:col>
      <xdr:colOff>0</xdr:colOff>
      <xdr:row>5</xdr:row>
      <xdr:rowOff>66675</xdr:rowOff>
    </xdr:to>
    <xdr:sp macro="" textlink="">
      <xdr:nvSpPr>
        <xdr:cNvPr id="12" name="Text Box 79">
          <a:extLst>
            <a:ext uri="{FF2B5EF4-FFF2-40B4-BE49-F238E27FC236}">
              <a16:creationId xmlns:a16="http://schemas.microsoft.com/office/drawing/2014/main" xmlns="" id="{00000000-0008-0000-1200-00000C000000}"/>
            </a:ext>
          </a:extLst>
        </xdr:cNvPr>
        <xdr:cNvSpPr txBox="1">
          <a:spLocks noChangeArrowheads="1"/>
        </xdr:cNvSpPr>
      </xdr:nvSpPr>
      <xdr:spPr bwMode="auto">
        <a:xfrm>
          <a:off x="10877550" y="266700"/>
          <a:ext cx="0" cy="771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Times New Roman"/>
              <a:cs typeface="Times New Roman"/>
            </a:rPr>
            <a:t>P.S.D. = Point of Sale Detail  (see TC-61 instructions)</a:t>
          </a:r>
        </a:p>
      </xdr:txBody>
    </xdr:sp>
    <xdr:clientData/>
  </xdr:twoCellAnchor>
  <xdr:twoCellAnchor>
    <xdr:from>
      <xdr:col>18</xdr:col>
      <xdr:colOff>276225</xdr:colOff>
      <xdr:row>1</xdr:row>
      <xdr:rowOff>28575</xdr:rowOff>
    </xdr:from>
    <xdr:to>
      <xdr:col>22</xdr:col>
      <xdr:colOff>447675</xdr:colOff>
      <xdr:row>7</xdr:row>
      <xdr:rowOff>247650</xdr:rowOff>
    </xdr:to>
    <xdr:sp macro="" textlink="">
      <xdr:nvSpPr>
        <xdr:cNvPr id="13" name="Text Box 81">
          <a:extLst>
            <a:ext uri="{FF2B5EF4-FFF2-40B4-BE49-F238E27FC236}">
              <a16:creationId xmlns:a16="http://schemas.microsoft.com/office/drawing/2014/main" xmlns="" id="{00000000-0008-0000-1200-00000D000000}"/>
            </a:ext>
          </a:extLst>
        </xdr:cNvPr>
        <xdr:cNvSpPr txBox="1">
          <a:spLocks noChangeArrowheads="1"/>
        </xdr:cNvSpPr>
      </xdr:nvSpPr>
      <xdr:spPr bwMode="auto">
        <a:xfrm>
          <a:off x="8686800" y="200025"/>
          <a:ext cx="2038350" cy="1609725"/>
        </a:xfrm>
        <a:prstGeom prst="rect">
          <a:avLst/>
        </a:prstGeom>
        <a:solidFill>
          <a:srgbClr val="FFFFFF"/>
        </a:solidFill>
        <a:ln w="9525">
          <a:noFill/>
          <a:miter lim="800000"/>
          <a:headEnd/>
          <a:tailEnd/>
        </a:ln>
      </xdr:spPr>
      <xdr:txBody>
        <a:bodyPr vertOverflow="clip" wrap="square" lIns="27432" tIns="18288" rIns="0" bIns="0" anchor="t" upright="1"/>
        <a:lstStyle/>
        <a:p>
          <a:r>
            <a:rPr lang="en-US" sz="800" b="1">
              <a:latin typeface="Times New Roman" pitchFamily="18" charset="0"/>
              <a:ea typeface="+mn-ea"/>
              <a:cs typeface="Times New Roman" pitchFamily="18" charset="0"/>
            </a:rPr>
            <a:t>MZ = Botanical, Cultural, Zoo Tax</a:t>
          </a:r>
          <a:endParaRPr lang="en-US" sz="800">
            <a:latin typeface="Times New Roman" pitchFamily="18" charset="0"/>
            <a:cs typeface="Times New Roman" pitchFamily="18" charset="0"/>
          </a:endParaRPr>
        </a:p>
        <a:p>
          <a:r>
            <a:rPr lang="en-US" sz="800" b="1">
              <a:latin typeface="Times New Roman" pitchFamily="18" charset="0"/>
              <a:ea typeface="+mn-ea"/>
              <a:cs typeface="Times New Roman" pitchFamily="18" charset="0"/>
            </a:rPr>
            <a:t>           (Municipality)</a:t>
          </a:r>
        </a:p>
        <a:p>
          <a:r>
            <a:rPr lang="en-US" sz="800" b="1" i="0" strike="noStrike">
              <a:solidFill>
                <a:srgbClr val="000000"/>
              </a:solidFill>
              <a:latin typeface="Times New Roman" pitchFamily="18" charset="0"/>
              <a:cs typeface="Times New Roman" pitchFamily="18" charset="0"/>
            </a:rPr>
            <a:t>HT = Highways</a:t>
          </a:r>
          <a:r>
            <a:rPr lang="en-US" sz="800" b="1" i="0" strike="noStrike" baseline="0">
              <a:solidFill>
                <a:srgbClr val="000000"/>
              </a:solidFill>
              <a:latin typeface="Times New Roman" pitchFamily="18" charset="0"/>
              <a:cs typeface="Times New Roman" pitchFamily="18" charset="0"/>
            </a:rPr>
            <a:t> T</a:t>
          </a:r>
          <a:r>
            <a:rPr lang="en-US" sz="800" b="1" i="0" strike="noStrike" baseline="0">
              <a:solidFill>
                <a:srgbClr val="000000"/>
              </a:solidFill>
              <a:latin typeface="Times New Roman"/>
              <a:cs typeface="Times New Roman"/>
            </a:rPr>
            <a:t>ax</a:t>
          </a:r>
          <a:endParaRPr lang="en-US" sz="800" b="1" i="0" strike="noStrike">
            <a:solidFill>
              <a:srgbClr val="000000"/>
            </a:solidFill>
            <a:latin typeface="Times New Roman"/>
            <a:cs typeface="Times New Roman"/>
          </a:endParaRPr>
        </a:p>
        <a:p>
          <a:pPr algn="l" rtl="0">
            <a:defRPr sz="1000"/>
          </a:pPr>
          <a:r>
            <a:rPr lang="en-US" sz="800" b="1" i="0" strike="noStrike">
              <a:solidFill>
                <a:srgbClr val="000000"/>
              </a:solidFill>
              <a:latin typeface="Times New Roman"/>
              <a:cs typeface="Times New Roman"/>
            </a:rPr>
            <a:t>CO = County Option Sales Tax</a:t>
          </a:r>
        </a:p>
        <a:p>
          <a:pPr algn="l" rtl="0">
            <a:defRPr sz="1000"/>
          </a:pPr>
          <a:r>
            <a:rPr lang="en-US" sz="800" b="1" i="0" strike="noStrike">
              <a:solidFill>
                <a:srgbClr val="000000"/>
              </a:solidFill>
              <a:latin typeface="Times New Roman"/>
              <a:cs typeface="Times New Roman"/>
            </a:rPr>
            <a:t>TO = Town Option Tax</a:t>
          </a:r>
        </a:p>
        <a:p>
          <a:pPr algn="l" rtl="0">
            <a:defRPr sz="1000"/>
          </a:pPr>
          <a:r>
            <a:rPr lang="en-US" sz="800" b="1" i="0" strike="noStrike">
              <a:solidFill>
                <a:srgbClr val="000000"/>
              </a:solidFill>
              <a:latin typeface="Times New Roman"/>
              <a:cs typeface="Times New Roman"/>
            </a:rPr>
            <a:t>TN = City or Town Option Tax</a:t>
          </a:r>
        </a:p>
        <a:p>
          <a:pPr algn="l" rtl="0">
            <a:defRPr sz="1000"/>
          </a:pPr>
          <a:r>
            <a:rPr lang="en-US" sz="800" b="1" i="0" strike="noStrike">
              <a:solidFill>
                <a:srgbClr val="000000"/>
              </a:solidFill>
              <a:latin typeface="Times New Roman"/>
              <a:cs typeface="Times New Roman"/>
            </a:rPr>
            <a:t>RR = Resort Community Tax</a:t>
          </a:r>
        </a:p>
        <a:p>
          <a:pPr algn="l" rtl="0">
            <a:defRPr sz="1000"/>
          </a:pPr>
          <a:r>
            <a:rPr lang="en-US" sz="800" b="1" i="0" strike="noStrike">
              <a:solidFill>
                <a:srgbClr val="000000"/>
              </a:solidFill>
              <a:latin typeface="Times New Roman"/>
              <a:cs typeface="Times New Roman"/>
            </a:rPr>
            <a:t>RA = Add'l Resort Comm. Tax</a:t>
          </a:r>
        </a:p>
        <a:p>
          <a:pPr algn="l" rtl="0">
            <a:defRPr sz="1000"/>
          </a:pPr>
          <a:r>
            <a:rPr lang="en-US" sz="800" b="1" i="0" strike="noStrike">
              <a:solidFill>
                <a:srgbClr val="000000"/>
              </a:solidFill>
              <a:latin typeface="Times New Roman"/>
              <a:cs typeface="Times New Roman"/>
            </a:rPr>
            <a:t>(a) Taxing entity is not an incorporated city or town</a:t>
          </a:r>
        </a:p>
        <a:p>
          <a:pPr algn="l" rtl="0">
            <a:defRPr sz="1000"/>
          </a:pPr>
          <a:r>
            <a:rPr lang="en-US" sz="800" b="1" i="0" strike="noStrike">
              <a:solidFill>
                <a:srgbClr val="000000"/>
              </a:solidFill>
              <a:latin typeface="Times New Roman"/>
              <a:cs typeface="Times New Roman"/>
            </a:rPr>
            <a:t>*See instructions below.</a:t>
          </a:r>
        </a:p>
        <a:p>
          <a:pPr algn="l" rtl="0">
            <a:defRPr sz="1000"/>
          </a:pPr>
          <a:endParaRPr lang="en-US" sz="800" b="1" i="0" strike="noStrike">
            <a:solidFill>
              <a:srgbClr val="000000"/>
            </a:solidFill>
            <a:latin typeface="Times New Roman"/>
            <a:cs typeface="Times New Roman"/>
          </a:endParaRPr>
        </a:p>
      </xdr:txBody>
    </xdr:sp>
    <xdr:clientData/>
  </xdr:twoCellAnchor>
  <xdr:twoCellAnchor>
    <xdr:from>
      <xdr:col>22</xdr:col>
      <xdr:colOff>590550</xdr:colOff>
      <xdr:row>1</xdr:row>
      <xdr:rowOff>0</xdr:rowOff>
    </xdr:from>
    <xdr:to>
      <xdr:col>22</xdr:col>
      <xdr:colOff>590550</xdr:colOff>
      <xdr:row>8</xdr:row>
      <xdr:rowOff>0</xdr:rowOff>
    </xdr:to>
    <xdr:sp macro="" textlink="">
      <xdr:nvSpPr>
        <xdr:cNvPr id="14" name="Line 82">
          <a:extLst>
            <a:ext uri="{FF2B5EF4-FFF2-40B4-BE49-F238E27FC236}">
              <a16:creationId xmlns:a16="http://schemas.microsoft.com/office/drawing/2014/main" xmlns="" id="{00000000-0008-0000-1200-00000E000000}"/>
            </a:ext>
          </a:extLst>
        </xdr:cNvPr>
        <xdr:cNvSpPr>
          <a:spLocks noChangeShapeType="1"/>
        </xdr:cNvSpPr>
      </xdr:nvSpPr>
      <xdr:spPr bwMode="auto">
        <a:xfrm flipV="1">
          <a:off x="10868025" y="171450"/>
          <a:ext cx="0" cy="1666875"/>
        </a:xfrm>
        <a:prstGeom prst="line">
          <a:avLst/>
        </a:prstGeom>
        <a:noFill/>
        <a:ln w="19050">
          <a:solidFill>
            <a:srgbClr val="000000"/>
          </a:solidFill>
          <a:round/>
          <a:headEnd/>
          <a:tailEnd/>
        </a:ln>
      </xdr:spPr>
    </xdr:sp>
    <xdr:clientData/>
  </xdr:twoCellAnchor>
  <xdr:twoCellAnchor>
    <xdr:from>
      <xdr:col>14</xdr:col>
      <xdr:colOff>38100</xdr:colOff>
      <xdr:row>1</xdr:row>
      <xdr:rowOff>38100</xdr:rowOff>
    </xdr:from>
    <xdr:to>
      <xdr:col>18</xdr:col>
      <xdr:colOff>228600</xdr:colOff>
      <xdr:row>7</xdr:row>
      <xdr:rowOff>238125</xdr:rowOff>
    </xdr:to>
    <xdr:sp macro="" textlink="">
      <xdr:nvSpPr>
        <xdr:cNvPr id="15" name="TextBox 14">
          <a:extLst>
            <a:ext uri="{FF2B5EF4-FFF2-40B4-BE49-F238E27FC236}">
              <a16:creationId xmlns:a16="http://schemas.microsoft.com/office/drawing/2014/main" xmlns="" id="{00000000-0008-0000-1200-00000F000000}"/>
            </a:ext>
          </a:extLst>
        </xdr:cNvPr>
        <xdr:cNvSpPr txBox="1"/>
      </xdr:nvSpPr>
      <xdr:spPr>
        <a:xfrm>
          <a:off x="6581775" y="209550"/>
          <a:ext cx="2057400" cy="1590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b="1">
              <a:latin typeface="Times New Roman" pitchFamily="18" charset="0"/>
              <a:cs typeface="Times New Roman" pitchFamily="18" charset="0"/>
            </a:rPr>
            <a:t>ST = State Sales &amp; Use Tax</a:t>
          </a:r>
        </a:p>
        <a:p>
          <a:r>
            <a:rPr lang="en-US" sz="800" b="1">
              <a:latin typeface="Times New Roman" pitchFamily="18" charset="0"/>
              <a:cs typeface="Times New Roman" pitchFamily="18" charset="0"/>
            </a:rPr>
            <a:t>LS = Local Sales &amp; Use Tax</a:t>
          </a:r>
        </a:p>
        <a:p>
          <a:r>
            <a:rPr lang="en-US" sz="800" b="1">
              <a:latin typeface="Times New Roman" pitchFamily="18" charset="0"/>
              <a:cs typeface="Times New Roman" pitchFamily="18" charset="0"/>
            </a:rPr>
            <a:t>MT = Mass Transit Tax</a:t>
          </a:r>
        </a:p>
        <a:p>
          <a:r>
            <a:rPr lang="en-US" sz="800" b="1">
              <a:latin typeface="Times New Roman" pitchFamily="18" charset="0"/>
              <a:cs typeface="Times New Roman" pitchFamily="18" charset="0"/>
            </a:rPr>
            <a:t>MA = Add'l Mass Transit Tax</a:t>
          </a:r>
        </a:p>
        <a:p>
          <a:r>
            <a:rPr lang="en-US" sz="800" b="1">
              <a:latin typeface="Times New Roman" pitchFamily="18" charset="0"/>
              <a:cs typeface="Times New Roman" pitchFamily="18" charset="0"/>
            </a:rPr>
            <a:t>MF = Mass tran Fixed Guideway</a:t>
          </a:r>
        </a:p>
        <a:p>
          <a:r>
            <a:rPr lang="en-US" sz="800" b="1">
              <a:latin typeface="Times New Roman" pitchFamily="18" charset="0"/>
              <a:cs typeface="Times New Roman" pitchFamily="18" charset="0"/>
            </a:rPr>
            <a:t>CT = County Option Transportation</a:t>
          </a:r>
        </a:p>
        <a:p>
          <a:r>
            <a:rPr lang="en-US" sz="800" b="1">
              <a:latin typeface="Times New Roman" pitchFamily="18" charset="0"/>
              <a:cs typeface="Times New Roman" pitchFamily="18" charset="0"/>
            </a:rPr>
            <a:t>SM = Supplemental State Sales &amp; Use</a:t>
          </a:r>
        </a:p>
        <a:p>
          <a:r>
            <a:rPr lang="en-US" sz="800" b="1">
              <a:latin typeface="Times New Roman" pitchFamily="18" charset="0"/>
              <a:cs typeface="Times New Roman" pitchFamily="18" charset="0"/>
            </a:rPr>
            <a:t>HH</a:t>
          </a:r>
          <a:r>
            <a:rPr lang="en-US" sz="800" b="1" baseline="0">
              <a:latin typeface="Times New Roman" pitchFamily="18" charset="0"/>
              <a:cs typeface="Times New Roman" pitchFamily="18" charset="0"/>
            </a:rPr>
            <a:t> = County Airport, Highway, Public </a:t>
          </a:r>
        </a:p>
        <a:p>
          <a:r>
            <a:rPr lang="en-US" sz="800" b="1" baseline="0">
              <a:latin typeface="Times New Roman" pitchFamily="18" charset="0"/>
              <a:cs typeface="Times New Roman" pitchFamily="18" charset="0"/>
            </a:rPr>
            <a:t>           Transit</a:t>
          </a:r>
          <a:endParaRPr lang="en-US" sz="800" b="1">
            <a:latin typeface="Times New Roman" pitchFamily="18" charset="0"/>
            <a:cs typeface="Times New Roman" pitchFamily="18" charset="0"/>
          </a:endParaRPr>
        </a:p>
        <a:p>
          <a:r>
            <a:rPr lang="en-US" sz="800" b="1">
              <a:latin typeface="Times New Roman" pitchFamily="18" charset="0"/>
              <a:cs typeface="Times New Roman" pitchFamily="18" charset="0"/>
            </a:rPr>
            <a:t>RH = Rural Hospital Tax</a:t>
          </a:r>
        </a:p>
        <a:p>
          <a:r>
            <a:rPr lang="en-US" sz="800" b="1">
              <a:latin typeface="Times New Roman" pitchFamily="18" charset="0"/>
              <a:cs typeface="Times New Roman" pitchFamily="18" charset="0"/>
            </a:rPr>
            <a:t>CZ = Botanical, Cultural, Zoo Tax</a:t>
          </a:r>
        </a:p>
        <a:p>
          <a:r>
            <a:rPr lang="en-US" sz="800" b="1">
              <a:latin typeface="Times New Roman" pitchFamily="18" charset="0"/>
              <a:cs typeface="Times New Roman" pitchFamily="18" charset="0"/>
            </a:rPr>
            <a:t>          (County)</a:t>
          </a:r>
        </a:p>
      </xdr:txBody>
    </xdr:sp>
    <xdr:clientData/>
  </xdr:twoCellAnchor>
  <mc:AlternateContent xmlns:mc="http://schemas.openxmlformats.org/markup-compatibility/2006">
    <mc:Choice xmlns:a14="http://schemas.microsoft.com/office/drawing/2010/main" Requires="a14">
      <xdr:twoCellAnchor editAs="oneCell">
        <xdr:from>
          <xdr:col>0</xdr:col>
          <xdr:colOff>215900</xdr:colOff>
          <xdr:row>1</xdr:row>
          <xdr:rowOff>50800</xdr:rowOff>
        </xdr:from>
        <xdr:to>
          <xdr:col>0</xdr:col>
          <xdr:colOff>1409700</xdr:colOff>
          <xdr:row>7</xdr:row>
          <xdr:rowOff>127000</xdr:rowOff>
        </xdr:to>
        <xdr:sp macro="" textlink="">
          <xdr:nvSpPr>
            <xdr:cNvPr id="11266" name="Picture 4" hidden="1">
              <a:extLst>
                <a:ext uri="{63B3BB69-23CF-44E3-9099-C40C66FF867C}">
                  <a14:compatExt spid="_x0000_s11266"/>
                </a:ext>
                <a:ext uri="{FF2B5EF4-FFF2-40B4-BE49-F238E27FC236}">
                  <a16:creationId xmlns:a16="http://schemas.microsoft.com/office/drawing/2014/main" xmlns="" id="{00000000-0008-0000-1200-0000022C0000}"/>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LIENTS/SALT%20LAKE%20CITY%20RDA/2017%20STATE%20STREET%20CRA%20ECONOMIC%20ANALYSIS/State%20Street%20CRA%20Analysis%20(4.16.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kewinder/Documents/Family/C:\CLIENT%20FOLDERS\NORTH%20SALT%20LAKE\2014%20HIGHWAY%2089%20CDA%20CREATION\FINAL%20TRANSCRIPT\Sect.%203%20-%20CDA%20Project%20Area%20Budget\NSL%20Highway%2089%20CDA%20Budget%20(2.9.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kewinder/Documents/Family/C:\CLIENT%20FOLDERS\SANDY\2013%20UTA%20TOD%20CDA%20PROJECT%20CREATION\ANALYSIS\TOD%20CDA%20Anaysis%20(4-2-2015)%20Master%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Development Pro Forma"/>
      <sheetName val="Pro Forma Comps"/>
      <sheetName val="Block Development"/>
      <sheetName val="TaxInc Budget"/>
      <sheetName val="Base Year"/>
      <sheetName val="Tax Increment Visual"/>
      <sheetName val="Sales Tax Revenues"/>
      <sheetName val="Franchise Tax Revenues"/>
      <sheetName val="City Expenditures"/>
      <sheetName val="City - Cost - Benefit"/>
      <sheetName val="General Gov Expenditure"/>
      <sheetName val="Capital Costs"/>
      <sheetName val="Parcel Info"/>
    </sheetNames>
    <sheetDataSet>
      <sheetData sheetId="0"/>
      <sheetData sheetId="1"/>
      <sheetData sheetId="2"/>
      <sheetData sheetId="3"/>
      <sheetData sheetId="4">
        <row r="3">
          <cell r="B3" t="str">
            <v>Increment and Budget Analysis</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ummary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ummary  (Dynamic)"/>
      <sheetName val="A.3 - Budge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 Id="rId2"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4" Type="http://schemas.openxmlformats.org/officeDocument/2006/relationships/oleObject" Target="../embeddings/oleObject1.bin"/><Relationship Id="rId5" Type="http://schemas.openxmlformats.org/officeDocument/2006/relationships/image" Target="../media/image3.emf"/><Relationship Id="rId1" Type="http://schemas.openxmlformats.org/officeDocument/2006/relationships/printerSettings" Target="../printerSettings/printerSettings17.bin"/><Relationship Id="rId2"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 Id="rId2" Type="http://schemas.openxmlformats.org/officeDocument/2006/relationships/vmlDrawing" Target="../drawings/vmlDrawing7.vml"/><Relationship Id="rId3"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vmlDrawing" Target="../drawings/vmlDrawing4.vml"/><Relationship Id="rId3"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 Id="rId2" Type="http://schemas.openxmlformats.org/officeDocument/2006/relationships/vmlDrawing" Target="../drawings/vmlDrawing5.vml"/><Relationship Id="rId3"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4.9989318521683403E-2"/>
    <pageSetUpPr fitToPage="1"/>
  </sheetPr>
  <dimension ref="A1:J45"/>
  <sheetViews>
    <sheetView view="pageBreakPreview" zoomScaleSheetLayoutView="100" workbookViewId="0">
      <selection activeCell="B3" sqref="B3"/>
    </sheetView>
  </sheetViews>
  <sheetFormatPr baseColWidth="10" defaultColWidth="8.83203125" defaultRowHeight="11" x14ac:dyDescent="0.15"/>
  <cols>
    <col min="1" max="1" width="4.83203125" style="574" customWidth="1"/>
    <col min="2" max="2" width="8.83203125" style="566"/>
    <col min="3" max="3" width="14.5" style="566" customWidth="1"/>
    <col min="4" max="4" width="19" style="566" customWidth="1"/>
    <col min="5" max="5" width="8.33203125" style="566" customWidth="1"/>
    <col min="6" max="7" width="12.33203125" style="566" bestFit="1" customWidth="1"/>
    <col min="8" max="8" width="2" style="574" customWidth="1"/>
    <col min="9" max="9" width="9.33203125" style="806" bestFit="1" customWidth="1"/>
    <col min="10" max="16384" width="8.83203125" style="566"/>
  </cols>
  <sheetData>
    <row r="1" spans="1:10" ht="13" x14ac:dyDescent="0.15">
      <c r="B1" s="299" t="s">
        <v>2054</v>
      </c>
    </row>
    <row r="2" spans="1:10" x14ac:dyDescent="0.15">
      <c r="B2" s="566" t="s">
        <v>2055</v>
      </c>
      <c r="E2" s="718"/>
      <c r="F2" s="574"/>
      <c r="G2" s="574"/>
    </row>
    <row r="3" spans="1:10" x14ac:dyDescent="0.15">
      <c r="B3" s="566" t="s">
        <v>1254</v>
      </c>
      <c r="E3" s="574"/>
      <c r="F3" s="574"/>
      <c r="G3" s="574"/>
    </row>
    <row r="4" spans="1:10" x14ac:dyDescent="0.15">
      <c r="B4" s="582" t="s">
        <v>1253</v>
      </c>
      <c r="E4" s="574"/>
      <c r="F4" s="574"/>
      <c r="G4" s="619"/>
    </row>
    <row r="5" spans="1:10" x14ac:dyDescent="0.15">
      <c r="B5" s="719"/>
      <c r="E5" s="574"/>
      <c r="G5" s="723"/>
      <c r="J5" s="621"/>
    </row>
    <row r="6" spans="1:10" ht="12" thickBot="1" x14ac:dyDescent="0.2">
      <c r="B6" s="724" t="s">
        <v>1435</v>
      </c>
      <c r="C6" s="725"/>
      <c r="D6" s="725"/>
      <c r="E6" s="725"/>
      <c r="F6" s="726" t="s">
        <v>11</v>
      </c>
      <c r="G6" s="727" t="s">
        <v>1372</v>
      </c>
      <c r="J6" s="632"/>
    </row>
    <row r="7" spans="1:10" x14ac:dyDescent="0.15">
      <c r="B7" s="619" t="str">
        <f>'Tax Increment Budget'!B18</f>
        <v>Salt Lake County</v>
      </c>
      <c r="C7" s="574"/>
      <c r="D7" s="574"/>
      <c r="E7" s="574"/>
      <c r="F7" s="911">
        <f>'Tax Increment Budget'!Y40</f>
        <v>4250245.0827006102</v>
      </c>
      <c r="G7" s="912">
        <f>'Tax Increment Budget'!Z40</f>
        <v>2679720.3515073145</v>
      </c>
      <c r="J7" s="574"/>
    </row>
    <row r="8" spans="1:10" s="973" customFormat="1" x14ac:dyDescent="0.15">
      <c r="A8" s="975"/>
      <c r="B8" s="619" t="str">
        <f>'Tax Increment Budget'!B19</f>
        <v>Salt Lake County Library</v>
      </c>
      <c r="C8" s="975"/>
      <c r="D8" s="975"/>
      <c r="E8" s="975"/>
      <c r="F8" s="911">
        <f>'Tax Increment Budget'!Y41</f>
        <v>1173277.531471428</v>
      </c>
      <c r="G8" s="912">
        <f>'Tax Increment Budget'!Z41</f>
        <v>739735.14888522902</v>
      </c>
      <c r="H8" s="975"/>
      <c r="I8" s="806"/>
      <c r="J8" s="975"/>
    </row>
    <row r="9" spans="1:10" x14ac:dyDescent="0.15">
      <c r="B9" s="619" t="str">
        <f>'Tax Increment Budget'!B20</f>
        <v>Granite School District</v>
      </c>
      <c r="C9" s="574"/>
      <c r="D9" s="574"/>
      <c r="E9" s="574"/>
      <c r="F9" s="911">
        <f>'Tax Increment Budget'!Y42</f>
        <v>17511989.221074793</v>
      </c>
      <c r="G9" s="912">
        <f>'Tax Increment Budget'!Z42</f>
        <v>11041065.396933122</v>
      </c>
    </row>
    <row r="10" spans="1:10" x14ac:dyDescent="0.15">
      <c r="B10" s="619" t="str">
        <f>'Tax Increment Budget'!B21</f>
        <v>Millcreek City</v>
      </c>
      <c r="C10" s="574"/>
      <c r="D10" s="574"/>
      <c r="E10" s="574"/>
      <c r="F10" s="911">
        <f>'Tax Increment Budget'!Y43</f>
        <v>4504490.1959604295</v>
      </c>
      <c r="G10" s="912">
        <f>'Tax Increment Budget'!Z43</f>
        <v>2840018.3557439824</v>
      </c>
    </row>
    <row r="11" spans="1:10" x14ac:dyDescent="0.15">
      <c r="B11" s="619" t="str">
        <f>'Tax Increment Budget'!B22</f>
        <v>South Salt Lake Valley Mosquito Abatement District</v>
      </c>
      <c r="C11" s="574"/>
      <c r="D11" s="574"/>
      <c r="E11" s="574"/>
      <c r="F11" s="911">
        <f>'Tax Increment Budget'!Y44</f>
        <v>33582.183369486302</v>
      </c>
      <c r="G11" s="912">
        <f>'Tax Increment Budget'!Z44</f>
        <v>21173.099073638045</v>
      </c>
    </row>
    <row r="12" spans="1:10" x14ac:dyDescent="0.15">
      <c r="B12" s="619" t="str">
        <f>'Tax Increment Budget'!B23</f>
        <v>Mt. Olympus Improvement District</v>
      </c>
      <c r="C12" s="574"/>
      <c r="D12" s="574"/>
      <c r="E12" s="863"/>
      <c r="F12" s="911">
        <f>'Tax Increment Budget'!Y45</f>
        <v>624628.61067244504</v>
      </c>
      <c r="G12" s="912">
        <f>'Tax Increment Budget'!Z45</f>
        <v>393819.64276966761</v>
      </c>
    </row>
    <row r="13" spans="1:10" x14ac:dyDescent="0.15">
      <c r="B13" s="619" t="str">
        <f>'Tax Increment Budget'!B24</f>
        <v>Central Utah Water Conservancy District</v>
      </c>
      <c r="C13" s="574"/>
      <c r="D13" s="574"/>
      <c r="E13" s="574"/>
      <c r="F13" s="911">
        <f>'Tax Increment Budget'!Y46</f>
        <v>895524.88985296816</v>
      </c>
      <c r="G13" s="912">
        <f>'Tax Increment Budget'!Z46</f>
        <v>564615.97529701458</v>
      </c>
    </row>
    <row r="14" spans="1:10" ht="12" thickBot="1" x14ac:dyDescent="0.2">
      <c r="B14" s="732" t="str">
        <f>'Tax Increment Budget'!B25</f>
        <v>Unified Fire Service Area</v>
      </c>
      <c r="C14" s="651"/>
      <c r="D14" s="651"/>
      <c r="E14" s="651"/>
      <c r="F14" s="1086">
        <f>'Tax Increment Budget'!Y47</f>
        <v>4159713.1133670374</v>
      </c>
      <c r="G14" s="1087">
        <f>'Tax Increment Budget'!Z47</f>
        <v>2622641.2052546316</v>
      </c>
    </row>
    <row r="15" spans="1:10" ht="12" thickTop="1" x14ac:dyDescent="0.15">
      <c r="B15" s="728" t="s">
        <v>10</v>
      </c>
      <c r="C15" s="729"/>
      <c r="D15" s="729"/>
      <c r="E15" s="729"/>
      <c r="F15" s="730">
        <f>SUM(F7:F14)</f>
        <v>33153450.828469194</v>
      </c>
      <c r="G15" s="731">
        <f>SUM(G7:G14)</f>
        <v>20902789.1754646</v>
      </c>
      <c r="I15" s="806" t="e">
        <f>G15=#REF!</f>
        <v>#REF!</v>
      </c>
    </row>
    <row r="16" spans="1:10" ht="12.75" customHeight="1" x14ac:dyDescent="0.15"/>
    <row r="17" spans="1:9" ht="12" thickBot="1" x14ac:dyDescent="0.2">
      <c r="B17" s="724" t="s">
        <v>1436</v>
      </c>
      <c r="C17" s="725"/>
      <c r="D17" s="725"/>
      <c r="E17" s="725"/>
      <c r="F17" s="726" t="s">
        <v>11</v>
      </c>
      <c r="G17" s="727" t="s">
        <v>1372</v>
      </c>
    </row>
    <row r="18" spans="1:9" x14ac:dyDescent="0.15">
      <c r="B18" s="619" t="str">
        <f>'Tax Increment Budget'!B50</f>
        <v>Redevelopment Activities (Infrastructure, Relocation, Incentives, etc.)</v>
      </c>
      <c r="C18" s="574"/>
      <c r="D18" s="574"/>
      <c r="E18" s="721"/>
      <c r="F18" s="720">
        <f>'Tax Increment Budget'!Y50</f>
        <v>26522760.662775353</v>
      </c>
      <c r="G18" s="722">
        <f>'Tax Increment Budget'!Z50</f>
        <v>16722231.340371678</v>
      </c>
    </row>
    <row r="19" spans="1:9" s="973" customFormat="1" x14ac:dyDescent="0.15">
      <c r="A19" s="975"/>
      <c r="B19" s="619" t="str">
        <f>'Tax Increment Budget'!B51</f>
        <v>CRA Housing Requirement</v>
      </c>
      <c r="C19" s="975"/>
      <c r="D19" s="975"/>
      <c r="E19" s="721"/>
      <c r="F19" s="720">
        <f>'Tax Increment Budget'!Y51</f>
        <v>4973017.6242703805</v>
      </c>
      <c r="G19" s="722">
        <f>'Tax Increment Budget'!Z51</f>
        <v>3135418.3763196892</v>
      </c>
      <c r="H19" s="975"/>
      <c r="I19" s="806"/>
    </row>
    <row r="20" spans="1:9" ht="12" thickBot="1" x14ac:dyDescent="0.2">
      <c r="B20" s="732" t="str">
        <f>'Tax Increment Budget'!B52</f>
        <v>RDA Administration</v>
      </c>
      <c r="C20" s="651"/>
      <c r="D20" s="651"/>
      <c r="E20" s="739"/>
      <c r="F20" s="733">
        <f>'Tax Increment Budget'!Y52</f>
        <v>1657672.5414234595</v>
      </c>
      <c r="G20" s="734">
        <f>'Tax Increment Budget'!Z52</f>
        <v>1045139.4587732299</v>
      </c>
    </row>
    <row r="21" spans="1:9" ht="13" thickTop="1" thickBot="1" x14ac:dyDescent="0.2">
      <c r="B21" s="735" t="s">
        <v>12</v>
      </c>
      <c r="C21" s="736"/>
      <c r="D21" s="736"/>
      <c r="E21" s="736"/>
      <c r="F21" s="737">
        <f>SUM(F18:F20)</f>
        <v>33153450.828469191</v>
      </c>
      <c r="G21" s="738">
        <f>SUM(G18:G20)</f>
        <v>20902789.175464597</v>
      </c>
      <c r="I21" s="806" t="e">
        <f>G21=#REF!</f>
        <v>#REF!</v>
      </c>
    </row>
    <row r="23" spans="1:9" ht="12" thickBot="1" x14ac:dyDescent="0.2">
      <c r="B23" s="724" t="s">
        <v>32</v>
      </c>
      <c r="C23" s="725"/>
      <c r="D23" s="725"/>
      <c r="E23" s="725"/>
      <c r="F23" s="726" t="s">
        <v>11</v>
      </c>
      <c r="G23" s="727" t="str">
        <f>G6</f>
        <v>NPV @ 4.00%</v>
      </c>
    </row>
    <row r="24" spans="1:9" x14ac:dyDescent="0.15">
      <c r="B24" s="619" t="str">
        <f>B7</f>
        <v>Salt Lake County</v>
      </c>
      <c r="C24" s="574"/>
      <c r="D24" s="574"/>
      <c r="E24" s="574"/>
      <c r="F24" s="720">
        <f>'Tax Increment Budget'!Y55</f>
        <v>1416748.3609002028</v>
      </c>
      <c r="G24" s="722">
        <f>'Tax Increment Budget'!Z55</f>
        <v>893240.11716910463</v>
      </c>
    </row>
    <row r="25" spans="1:9" s="973" customFormat="1" x14ac:dyDescent="0.15">
      <c r="A25" s="975"/>
      <c r="B25" s="619" t="str">
        <f>B8</f>
        <v>Salt Lake County Library</v>
      </c>
      <c r="C25" s="975"/>
      <c r="D25" s="975"/>
      <c r="E25" s="975"/>
      <c r="F25" s="720">
        <f>'Tax Increment Budget'!Y56</f>
        <v>391092.5104904758</v>
      </c>
      <c r="G25" s="722">
        <f>'Tax Increment Budget'!Z56</f>
        <v>246578.38296174305</v>
      </c>
      <c r="H25" s="975"/>
      <c r="I25" s="806"/>
    </row>
    <row r="26" spans="1:9" x14ac:dyDescent="0.15">
      <c r="B26" s="619" t="str">
        <f t="shared" ref="B26:B31" si="0">B9</f>
        <v>Granite School District</v>
      </c>
      <c r="C26" s="574"/>
      <c r="D26" s="574"/>
      <c r="E26" s="574"/>
      <c r="F26" s="720">
        <f>'Tax Increment Budget'!Y57</f>
        <v>4377997.3052686984</v>
      </c>
      <c r="G26" s="722">
        <f>'Tax Increment Budget'!Z57</f>
        <v>2760266.349233279</v>
      </c>
    </row>
    <row r="27" spans="1:9" x14ac:dyDescent="0.15">
      <c r="B27" s="619" t="str">
        <f t="shared" si="0"/>
        <v>Millcreek City</v>
      </c>
      <c r="C27" s="574"/>
      <c r="D27" s="574"/>
      <c r="E27" s="574"/>
      <c r="F27" s="720">
        <f>'Tax Increment Budget'!Y58</f>
        <v>1126122.5489901071</v>
      </c>
      <c r="G27" s="722">
        <f>'Tax Increment Budget'!Z58</f>
        <v>710004.58893599559</v>
      </c>
    </row>
    <row r="28" spans="1:9" x14ac:dyDescent="0.15">
      <c r="B28" s="619" t="str">
        <f t="shared" si="0"/>
        <v>South Salt Lake Valley Mosquito Abatement District</v>
      </c>
      <c r="C28" s="574"/>
      <c r="D28" s="574"/>
      <c r="E28" s="574"/>
      <c r="F28" s="720">
        <f>'Tax Increment Budget'!Y59</f>
        <v>8395.5458423715754</v>
      </c>
      <c r="G28" s="722">
        <f>'Tax Increment Budget'!Z59</f>
        <v>5293.2747684095102</v>
      </c>
    </row>
    <row r="29" spans="1:9" x14ac:dyDescent="0.15">
      <c r="B29" s="619" t="str">
        <f t="shared" si="0"/>
        <v>Mt. Olympus Improvement District</v>
      </c>
      <c r="C29" s="574"/>
      <c r="D29" s="574"/>
      <c r="E29" s="863"/>
      <c r="F29" s="720">
        <f>'Tax Increment Budget'!Y60</f>
        <v>156157.15266811126</v>
      </c>
      <c r="G29" s="722">
        <f>'Tax Increment Budget'!Z60</f>
        <v>98454.910692416859</v>
      </c>
    </row>
    <row r="30" spans="1:9" x14ac:dyDescent="0.15">
      <c r="B30" s="619" t="str">
        <f t="shared" si="0"/>
        <v>Central Utah Water Conservancy District</v>
      </c>
      <c r="C30" s="574"/>
      <c r="D30" s="574"/>
      <c r="E30" s="574"/>
      <c r="F30" s="720">
        <f>'Tax Increment Budget'!Y61</f>
        <v>223881.22246324201</v>
      </c>
      <c r="G30" s="722">
        <f>'Tax Increment Budget'!Z61</f>
        <v>141153.99382425356</v>
      </c>
    </row>
    <row r="31" spans="1:9" ht="12" thickBot="1" x14ac:dyDescent="0.2">
      <c r="B31" s="732" t="str">
        <f t="shared" si="0"/>
        <v>Unified Fire Service Area</v>
      </c>
      <c r="C31" s="651"/>
      <c r="D31" s="651"/>
      <c r="E31" s="651"/>
      <c r="F31" s="733">
        <f>'Tax Increment Budget'!Y62</f>
        <v>1039928.2783417592</v>
      </c>
      <c r="G31" s="734">
        <f>'Tax Increment Budget'!Z62</f>
        <v>655660.30131365778</v>
      </c>
    </row>
    <row r="32" spans="1:9" ht="13" thickTop="1" thickBot="1" x14ac:dyDescent="0.2">
      <c r="B32" s="735" t="s">
        <v>10</v>
      </c>
      <c r="C32" s="736"/>
      <c r="D32" s="736"/>
      <c r="E32" s="736"/>
      <c r="F32" s="737">
        <f>SUM(F24:F31)</f>
        <v>8740322.9249649681</v>
      </c>
      <c r="G32" s="738">
        <f>SUM(G24:G31)</f>
        <v>5510651.91889886</v>
      </c>
      <c r="I32" s="806" t="e">
        <f>G32=#REF!</f>
        <v>#REF!</v>
      </c>
    </row>
    <row r="34" spans="1:9" ht="12" thickBot="1" x14ac:dyDescent="0.2">
      <c r="B34" s="724" t="s">
        <v>1216</v>
      </c>
      <c r="C34" s="725"/>
      <c r="D34" s="725"/>
      <c r="E34" s="725"/>
      <c r="F34" s="726" t="s">
        <v>11</v>
      </c>
      <c r="G34" s="727" t="str">
        <f>G23</f>
        <v>NPV @ 4.00%</v>
      </c>
    </row>
    <row r="35" spans="1:9" x14ac:dyDescent="0.15">
      <c r="B35" s="619" t="str">
        <f>B7</f>
        <v>Salt Lake County</v>
      </c>
      <c r="C35" s="574"/>
      <c r="D35" s="574"/>
      <c r="E35" s="574"/>
      <c r="F35" s="720">
        <f>'Tax Increment Budget'!Y18</f>
        <v>5666993.4436008139</v>
      </c>
      <c r="G35" s="722">
        <f>'Tax Increment Budget'!Z18</f>
        <v>3572960.4686764195</v>
      </c>
      <c r="I35" s="806" t="b">
        <f>(ROUND(F35,0)=ROUND(F24+F7,0))</f>
        <v>1</v>
      </c>
    </row>
    <row r="36" spans="1:9" s="973" customFormat="1" x14ac:dyDescent="0.15">
      <c r="A36" s="975"/>
      <c r="B36" s="619" t="str">
        <f>B8</f>
        <v>Salt Lake County Library</v>
      </c>
      <c r="C36" s="975"/>
      <c r="D36" s="975"/>
      <c r="E36" s="975"/>
      <c r="F36" s="720">
        <f>'Tax Increment Budget'!Y19</f>
        <v>1564370.0419619032</v>
      </c>
      <c r="G36" s="722">
        <f>'Tax Increment Budget'!Z19</f>
        <v>986313.53184697207</v>
      </c>
      <c r="H36" s="975"/>
      <c r="I36" s="806"/>
    </row>
    <row r="37" spans="1:9" x14ac:dyDescent="0.15">
      <c r="B37" s="619" t="str">
        <f t="shared" ref="B37:B42" si="1">B9</f>
        <v>Granite School District</v>
      </c>
      <c r="C37" s="574"/>
      <c r="D37" s="574"/>
      <c r="E37" s="574"/>
      <c r="F37" s="720">
        <f>'Tax Increment Budget'!Y20</f>
        <v>21889986.526343487</v>
      </c>
      <c r="G37" s="722">
        <f>'Tax Increment Budget'!Z20</f>
        <v>13801331.746166397</v>
      </c>
      <c r="I37" s="806" t="b">
        <f>(ROUND(F37,0)=ROUND(F26+F9,0))</f>
        <v>1</v>
      </c>
    </row>
    <row r="38" spans="1:9" x14ac:dyDescent="0.15">
      <c r="B38" s="619" t="str">
        <f t="shared" si="1"/>
        <v>Millcreek City</v>
      </c>
      <c r="C38" s="574"/>
      <c r="D38" s="574"/>
      <c r="E38" s="574"/>
      <c r="F38" s="720">
        <f>'Tax Increment Budget'!Y21</f>
        <v>5630612.7449505366</v>
      </c>
      <c r="G38" s="722">
        <f>'Tax Increment Budget'!Z21</f>
        <v>3550022.9446799778</v>
      </c>
      <c r="I38" s="806" t="b">
        <f>(ROUND(F38,0)=ROUND(F27+F10,0))</f>
        <v>1</v>
      </c>
    </row>
    <row r="39" spans="1:9" x14ac:dyDescent="0.15">
      <c r="B39" s="619" t="str">
        <f t="shared" si="1"/>
        <v>South Salt Lake Valley Mosquito Abatement District</v>
      </c>
      <c r="C39" s="574"/>
      <c r="D39" s="574"/>
      <c r="E39" s="574"/>
      <c r="F39" s="720">
        <f>'Tax Increment Budget'!Y22</f>
        <v>41977.729211857884</v>
      </c>
      <c r="G39" s="722">
        <f>'Tax Increment Budget'!Z22</f>
        <v>26466.373842047549</v>
      </c>
      <c r="I39" s="806" t="b">
        <f>(ROUND(F39,0)=ROUND(F28+F11,0))</f>
        <v>1</v>
      </c>
    </row>
    <row r="40" spans="1:9" x14ac:dyDescent="0.15">
      <c r="B40" s="619" t="str">
        <f t="shared" si="1"/>
        <v>Mt. Olympus Improvement District</v>
      </c>
      <c r="C40" s="574"/>
      <c r="D40" s="574"/>
      <c r="E40" s="863"/>
      <c r="F40" s="720">
        <f>'Tax Increment Budget'!Y23</f>
        <v>780785.7633405563</v>
      </c>
      <c r="G40" s="722">
        <f>'Tax Increment Budget'!Z23</f>
        <v>492274.5534620845</v>
      </c>
      <c r="I40" s="806" t="b">
        <f>(ROUND(F40,0)=ROUND(F29+F12,0))</f>
        <v>1</v>
      </c>
    </row>
    <row r="41" spans="1:9" x14ac:dyDescent="0.15">
      <c r="B41" s="619" t="str">
        <f t="shared" si="1"/>
        <v>Central Utah Water Conservancy District</v>
      </c>
      <c r="C41" s="574"/>
      <c r="D41" s="574"/>
      <c r="E41" s="574"/>
      <c r="F41" s="720">
        <f>'Tax Increment Budget'!Y24</f>
        <v>1119406.1123162101</v>
      </c>
      <c r="G41" s="722">
        <f>'Tax Increment Budget'!Z24</f>
        <v>705769.96912126814</v>
      </c>
    </row>
    <row r="42" spans="1:9" ht="12" thickBot="1" x14ac:dyDescent="0.2">
      <c r="B42" s="732" t="str">
        <f t="shared" si="1"/>
        <v>Unified Fire Service Area</v>
      </c>
      <c r="C42" s="651"/>
      <c r="D42" s="651"/>
      <c r="E42" s="651"/>
      <c r="F42" s="733">
        <f>'Tax Increment Budget'!Y25</f>
        <v>5199641.391708795</v>
      </c>
      <c r="G42" s="734">
        <f>'Tax Increment Budget'!Z25</f>
        <v>3278301.5065682898</v>
      </c>
    </row>
    <row r="43" spans="1:9" ht="13" thickTop="1" thickBot="1" x14ac:dyDescent="0.2">
      <c r="B43" s="735" t="s">
        <v>1217</v>
      </c>
      <c r="C43" s="736"/>
      <c r="D43" s="736"/>
      <c r="E43" s="736"/>
      <c r="F43" s="737">
        <f>SUM(F35:F42)</f>
        <v>41893773.753434166</v>
      </c>
      <c r="G43" s="738">
        <f>SUM(G35:G42)</f>
        <v>26413441.094363462</v>
      </c>
      <c r="I43" s="806" t="b">
        <f>(ROUND(F43,0)=ROUND(F32+F15,0))</f>
        <v>1</v>
      </c>
    </row>
    <row r="45" spans="1:9" x14ac:dyDescent="0.15">
      <c r="F45" s="806" t="b">
        <f>(ROUND(F43,0)=ROUND(F32+F15,0))</f>
        <v>1</v>
      </c>
      <c r="G45" s="806" t="b">
        <f>(ROUND(G43,0)=ROUND(G32+G15,0))</f>
        <v>1</v>
      </c>
    </row>
  </sheetData>
  <printOptions horizontalCentered="1"/>
  <pageMargins left="0.48" right="0.43" top="0.28999999999999998" bottom="0.49" header="0.3" footer="0.18"/>
  <pageSetup orientation="portrait" r:id="rId1"/>
  <headerFooter alignWithMargins="0">
    <oddFooter>&amp;R&amp;"Arial,Italic"&amp;9&amp;A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B1:AC63"/>
  <sheetViews>
    <sheetView view="pageBreakPreview" zoomScale="115" zoomScaleNormal="130" zoomScaleSheetLayoutView="115" zoomScalePageLayoutView="130" workbookViewId="0">
      <pane xSplit="2" ySplit="6" topLeftCell="D7" activePane="bottomRight" state="frozen"/>
      <selection activeCell="P13" sqref="P13:P19"/>
      <selection pane="topRight" activeCell="P13" sqref="P13:P19"/>
      <selection pane="bottomLeft" activeCell="P13" sqref="P13:P19"/>
      <selection pane="bottomRight" activeCell="P13" sqref="P13:P19"/>
    </sheetView>
  </sheetViews>
  <sheetFormatPr baseColWidth="10" defaultColWidth="8.83203125" defaultRowHeight="11" outlineLevelCol="1" x14ac:dyDescent="0.15"/>
  <cols>
    <col min="1" max="1" width="3.33203125" style="758" customWidth="1"/>
    <col min="2" max="2" width="45.83203125" style="758" customWidth="1"/>
    <col min="3" max="3" width="10" style="777" hidden="1" customWidth="1" outlineLevel="1"/>
    <col min="4" max="4" width="9.6640625" style="758" customWidth="1" collapsed="1"/>
    <col min="5" max="5" width="9.6640625" style="758" customWidth="1"/>
    <col min="6" max="11" width="10.1640625" style="758" customWidth="1"/>
    <col min="12" max="24" width="9.5" style="758" customWidth="1"/>
    <col min="25" max="25" width="11.5" style="758" bestFit="1" customWidth="1"/>
    <col min="26" max="26" width="11.33203125" style="758" bestFit="1" customWidth="1"/>
    <col min="27" max="27" width="17.6640625" style="758" customWidth="1"/>
    <col min="28" max="28" width="15.5" style="758" bestFit="1" customWidth="1"/>
    <col min="29" max="29" width="13.83203125" style="758" bestFit="1" customWidth="1"/>
    <col min="30" max="16384" width="8.83203125" style="758"/>
  </cols>
  <sheetData>
    <row r="1" spans="2:27" ht="13" x14ac:dyDescent="0.15">
      <c r="B1" s="299" t="str">
        <f>'A.1 - Summary '!B1</f>
        <v>Millcreek Community Reinvestment Agency</v>
      </c>
      <c r="C1" s="773"/>
      <c r="D1" s="566"/>
      <c r="E1" s="759"/>
      <c r="F1" s="759"/>
      <c r="G1" s="759"/>
      <c r="H1" s="759"/>
    </row>
    <row r="2" spans="2:27" x14ac:dyDescent="0.15">
      <c r="B2" s="566" t="str">
        <f>'A.1 - Summary '!B2</f>
        <v>Millcreek Center CRA</v>
      </c>
      <c r="E2" s="831"/>
      <c r="F2" s="831"/>
      <c r="G2" s="759"/>
      <c r="H2" s="759"/>
    </row>
    <row r="3" spans="2:27" x14ac:dyDescent="0.15">
      <c r="B3" s="566" t="str">
        <f>'A.1 - Summary '!B3</f>
        <v>Increment and Budget Analysis</v>
      </c>
      <c r="C3" s="567"/>
      <c r="D3" s="566"/>
      <c r="E3" s="759"/>
      <c r="F3" s="759"/>
      <c r="G3" s="759"/>
      <c r="H3" s="759"/>
    </row>
    <row r="4" spans="2:27" x14ac:dyDescent="0.15">
      <c r="B4" s="760" t="s">
        <v>1379</v>
      </c>
      <c r="C4" s="774"/>
      <c r="D4" s="760"/>
      <c r="E4" s="761"/>
      <c r="G4" s="762"/>
      <c r="Z4" s="762"/>
    </row>
    <row r="5" spans="2:27" ht="12" thickBot="1" x14ac:dyDescent="0.2">
      <c r="B5" s="753"/>
      <c r="C5" s="775"/>
      <c r="D5" s="753"/>
      <c r="E5" s="762"/>
      <c r="G5" s="762"/>
    </row>
    <row r="6" spans="2:27" s="753" customFormat="1" ht="12" thickBot="1" x14ac:dyDescent="0.2">
      <c r="B6" s="749"/>
      <c r="C6" s="750">
        <f>'B.1 - Dev Pro Forma'!C28</f>
        <v>0</v>
      </c>
      <c r="D6" s="750">
        <v>2016</v>
      </c>
      <c r="E6" s="750">
        <f>D6+1</f>
        <v>2017</v>
      </c>
      <c r="F6" s="750">
        <f t="shared" ref="F6:R6" si="0">E6+1</f>
        <v>2018</v>
      </c>
      <c r="G6" s="750">
        <f t="shared" si="0"/>
        <v>2019</v>
      </c>
      <c r="H6" s="750">
        <f t="shared" si="0"/>
        <v>2020</v>
      </c>
      <c r="I6" s="750">
        <f t="shared" si="0"/>
        <v>2021</v>
      </c>
      <c r="J6" s="750">
        <f t="shared" si="0"/>
        <v>2022</v>
      </c>
      <c r="K6" s="750">
        <f t="shared" si="0"/>
        <v>2023</v>
      </c>
      <c r="L6" s="750">
        <f t="shared" si="0"/>
        <v>2024</v>
      </c>
      <c r="M6" s="750">
        <f t="shared" si="0"/>
        <v>2025</v>
      </c>
      <c r="N6" s="750">
        <f t="shared" si="0"/>
        <v>2026</v>
      </c>
      <c r="O6" s="750">
        <f t="shared" si="0"/>
        <v>2027</v>
      </c>
      <c r="P6" s="750">
        <f t="shared" si="0"/>
        <v>2028</v>
      </c>
      <c r="Q6" s="750">
        <f t="shared" si="0"/>
        <v>2029</v>
      </c>
      <c r="R6" s="750">
        <f t="shared" si="0"/>
        <v>2030</v>
      </c>
      <c r="S6" s="750">
        <f t="shared" ref="S6:S7" si="1">R6+1</f>
        <v>2031</v>
      </c>
      <c r="T6" s="750">
        <f t="shared" ref="T6:T7" si="2">S6+1</f>
        <v>2032</v>
      </c>
      <c r="U6" s="750">
        <f t="shared" ref="U6:U7" si="3">T6+1</f>
        <v>2033</v>
      </c>
      <c r="V6" s="750">
        <f t="shared" ref="V6:V7" si="4">U6+1</f>
        <v>2034</v>
      </c>
      <c r="W6" s="750">
        <f t="shared" ref="W6:W7" si="5">V6+1</f>
        <v>2035</v>
      </c>
      <c r="X6" s="750">
        <f t="shared" ref="X6:X7" si="6">W6+1</f>
        <v>2036</v>
      </c>
      <c r="Y6" s="751" t="s">
        <v>5</v>
      </c>
      <c r="Z6" s="752" t="e">
        <f>#REF!</f>
        <v>#REF!</v>
      </c>
    </row>
    <row r="7" spans="2:27" ht="13" x14ac:dyDescent="0.15">
      <c r="B7" s="754" t="s">
        <v>1362</v>
      </c>
      <c r="C7" s="776"/>
      <c r="D7" s="755"/>
      <c r="E7" s="756">
        <v>1</v>
      </c>
      <c r="F7" s="756">
        <f t="shared" ref="F7:R7" si="7">E7+1</f>
        <v>2</v>
      </c>
      <c r="G7" s="756">
        <f t="shared" si="7"/>
        <v>3</v>
      </c>
      <c r="H7" s="756">
        <f t="shared" si="7"/>
        <v>4</v>
      </c>
      <c r="I7" s="756">
        <f t="shared" si="7"/>
        <v>5</v>
      </c>
      <c r="J7" s="756">
        <f t="shared" si="7"/>
        <v>6</v>
      </c>
      <c r="K7" s="756">
        <f t="shared" si="7"/>
        <v>7</v>
      </c>
      <c r="L7" s="756">
        <f t="shared" si="7"/>
        <v>8</v>
      </c>
      <c r="M7" s="756">
        <f t="shared" si="7"/>
        <v>9</v>
      </c>
      <c r="N7" s="756">
        <f t="shared" si="7"/>
        <v>10</v>
      </c>
      <c r="O7" s="756">
        <f t="shared" si="7"/>
        <v>11</v>
      </c>
      <c r="P7" s="756">
        <f t="shared" si="7"/>
        <v>12</v>
      </c>
      <c r="Q7" s="756">
        <f t="shared" si="7"/>
        <v>13</v>
      </c>
      <c r="R7" s="756">
        <f t="shared" si="7"/>
        <v>14</v>
      </c>
      <c r="S7" s="756">
        <f t="shared" si="1"/>
        <v>15</v>
      </c>
      <c r="T7" s="756">
        <f t="shared" si="2"/>
        <v>16</v>
      </c>
      <c r="U7" s="756">
        <f t="shared" si="3"/>
        <v>17</v>
      </c>
      <c r="V7" s="756">
        <f t="shared" si="4"/>
        <v>18</v>
      </c>
      <c r="W7" s="756">
        <f t="shared" si="5"/>
        <v>19</v>
      </c>
      <c r="X7" s="756">
        <f t="shared" si="6"/>
        <v>20</v>
      </c>
      <c r="Y7" s="756"/>
      <c r="Z7" s="757"/>
    </row>
    <row r="8" spans="2:27" ht="15.25" customHeight="1" x14ac:dyDescent="0.15">
      <c r="B8" s="839" t="s">
        <v>1365</v>
      </c>
      <c r="C8" s="781"/>
      <c r="D8" s="799">
        <v>0</v>
      </c>
      <c r="E8" s="799" t="e">
        <f>#REF!</f>
        <v>#REF!</v>
      </c>
      <c r="F8" s="799" t="e">
        <f>#REF!</f>
        <v>#REF!</v>
      </c>
      <c r="G8" s="799" t="e">
        <f>#REF!</f>
        <v>#REF!</v>
      </c>
      <c r="H8" s="799" t="e">
        <f>#REF!</f>
        <v>#REF!</v>
      </c>
      <c r="I8" s="799" t="e">
        <f>#REF!</f>
        <v>#REF!</v>
      </c>
      <c r="J8" s="799" t="e">
        <f>#REF!</f>
        <v>#REF!</v>
      </c>
      <c r="K8" s="799" t="e">
        <f>#REF!</f>
        <v>#REF!</v>
      </c>
      <c r="L8" s="799" t="e">
        <f>#REF!</f>
        <v>#REF!</v>
      </c>
      <c r="M8" s="799" t="e">
        <f>#REF!</f>
        <v>#REF!</v>
      </c>
      <c r="N8" s="799" t="e">
        <f>#REF!</f>
        <v>#REF!</v>
      </c>
      <c r="O8" s="799" t="e">
        <f>#REF!</f>
        <v>#REF!</v>
      </c>
      <c r="P8" s="799" t="e">
        <f>#REF!</f>
        <v>#REF!</v>
      </c>
      <c r="Q8" s="799" t="e">
        <f>#REF!</f>
        <v>#REF!</v>
      </c>
      <c r="R8" s="799" t="e">
        <f>#REF!</f>
        <v>#REF!</v>
      </c>
      <c r="S8" s="799" t="e">
        <f>#REF!</f>
        <v>#REF!</v>
      </c>
      <c r="T8" s="799" t="e">
        <f>#REF!</f>
        <v>#REF!</v>
      </c>
      <c r="U8" s="799" t="e">
        <f>#REF!</f>
        <v>#REF!</v>
      </c>
      <c r="V8" s="799" t="e">
        <f>#REF!</f>
        <v>#REF!</v>
      </c>
      <c r="W8" s="799" t="e">
        <f>#REF!</f>
        <v>#REF!</v>
      </c>
      <c r="X8" s="799" t="e">
        <f>#REF!</f>
        <v>#REF!</v>
      </c>
      <c r="Y8" s="782" t="e">
        <f>SUM(E8:X8)</f>
        <v>#REF!</v>
      </c>
      <c r="Z8" s="783" t="e">
        <f>NPV($Z$6,E8:X8)</f>
        <v>#REF!</v>
      </c>
    </row>
    <row r="9" spans="2:27" ht="15.25" customHeight="1" x14ac:dyDescent="0.15">
      <c r="B9" s="763" t="s">
        <v>1222</v>
      </c>
      <c r="C9" s="784">
        <f>'D.1 - Sales Tax Revenues'!C37</f>
        <v>20523.942841881606</v>
      </c>
      <c r="D9" s="784">
        <v>0</v>
      </c>
      <c r="E9" s="784">
        <f>'D.1 - Sales Tax Revenues'!C37</f>
        <v>20523.942841881606</v>
      </c>
      <c r="F9" s="784">
        <f>'D.1 - Sales Tax Revenues'!D37</f>
        <v>40560.442041268514</v>
      </c>
      <c r="G9" s="784">
        <f>'D.1 - Sales Tax Revenues'!E37</f>
        <v>48044.497798560646</v>
      </c>
      <c r="H9" s="784">
        <f>'D.1 - Sales Tax Revenues'!F37</f>
        <v>57172.95238028717</v>
      </c>
      <c r="I9" s="784">
        <f>'D.1 - Sales Tax Revenues'!G37</f>
        <v>65258.841359784914</v>
      </c>
      <c r="J9" s="784">
        <f>'D.1 - Sales Tax Revenues'!H37</f>
        <v>73645.296717510486</v>
      </c>
      <c r="K9" s="784">
        <f>'D.1 - Sales Tax Revenues'!I37</f>
        <v>86674.849213685404</v>
      </c>
      <c r="L9" s="784">
        <f>'D.1 - Sales Tax Revenues'!J37</f>
        <v>100196.12569102034</v>
      </c>
      <c r="M9" s="784">
        <f>'D.1 - Sales Tax Revenues'!K37</f>
        <v>117229.46705849378</v>
      </c>
      <c r="N9" s="784">
        <f>'D.1 - Sales Tax Revenues'!L37</f>
        <v>134904.06363038978</v>
      </c>
      <c r="O9" s="784">
        <f>'D.1 - Sales Tax Revenues'!M37</f>
        <v>156366.07375340635</v>
      </c>
      <c r="P9" s="784">
        <f>'D.1 - Sales Tax Revenues'!N37</f>
        <v>159493.39522847449</v>
      </c>
      <c r="Q9" s="784">
        <f>'D.1 - Sales Tax Revenues'!O37</f>
        <v>162683.26313304401</v>
      </c>
      <c r="R9" s="784">
        <f>'D.1 - Sales Tax Revenues'!U37</f>
        <v>183207.77718367073</v>
      </c>
      <c r="S9" s="784">
        <f>'D.1 - Sales Tax Revenues'!V37</f>
        <v>186871.93272734413</v>
      </c>
      <c r="T9" s="784" t="e">
        <f>'D.1 - Sales Tax Revenues'!#REF!</f>
        <v>#REF!</v>
      </c>
      <c r="U9" s="784" t="e">
        <f>'D.1 - Sales Tax Revenues'!#REF!</f>
        <v>#REF!</v>
      </c>
      <c r="V9" s="784" t="e">
        <f>'D.1 - Sales Tax Revenues'!#REF!</f>
        <v>#REF!</v>
      </c>
      <c r="W9" s="784" t="e">
        <f>'D.1 - Sales Tax Revenues'!#REF!</f>
        <v>#REF!</v>
      </c>
      <c r="X9" s="784" t="e">
        <f>'D.1 - Sales Tax Revenues'!#REF!</f>
        <v>#REF!</v>
      </c>
      <c r="Y9" s="782" t="e">
        <f>SUM(D9:X9)</f>
        <v>#REF!</v>
      </c>
      <c r="Z9" s="783" t="e">
        <f>NPV($Z$6,D9:X9)</f>
        <v>#REF!</v>
      </c>
    </row>
    <row r="10" spans="2:27" ht="15.25" customHeight="1" x14ac:dyDescent="0.15">
      <c r="B10" s="764" t="s">
        <v>548</v>
      </c>
      <c r="C10" s="785" t="e">
        <f>'E.1 - Franchise Tax Revenues'!#REF!</f>
        <v>#REF!</v>
      </c>
      <c r="D10" s="785">
        <v>0</v>
      </c>
      <c r="E10" s="785" t="e">
        <f>'E.1 - Franchise Tax Revenues'!#REF!</f>
        <v>#REF!</v>
      </c>
      <c r="F10" s="785" t="e">
        <f>'E.1 - Franchise Tax Revenues'!#REF!</f>
        <v>#REF!</v>
      </c>
      <c r="G10" s="785" t="e">
        <f>'E.1 - Franchise Tax Revenues'!#REF!</f>
        <v>#REF!</v>
      </c>
      <c r="H10" s="785" t="e">
        <f>'E.1 - Franchise Tax Revenues'!#REF!</f>
        <v>#REF!</v>
      </c>
      <c r="I10" s="785" t="e">
        <f>'E.1 - Franchise Tax Revenues'!#REF!</f>
        <v>#REF!</v>
      </c>
      <c r="J10" s="785" t="e">
        <f>'E.1 - Franchise Tax Revenues'!#REF!</f>
        <v>#REF!</v>
      </c>
      <c r="K10" s="785" t="e">
        <f>'E.1 - Franchise Tax Revenues'!#REF!</f>
        <v>#REF!</v>
      </c>
      <c r="L10" s="785" t="e">
        <f>'E.1 - Franchise Tax Revenues'!#REF!</f>
        <v>#REF!</v>
      </c>
      <c r="M10" s="785" t="e">
        <f>'E.1 - Franchise Tax Revenues'!#REF!</f>
        <v>#REF!</v>
      </c>
      <c r="N10" s="785" t="e">
        <f>'E.1 - Franchise Tax Revenues'!#REF!</f>
        <v>#REF!</v>
      </c>
      <c r="O10" s="785" t="e">
        <f>'E.1 - Franchise Tax Revenues'!#REF!</f>
        <v>#REF!</v>
      </c>
      <c r="P10" s="785" t="e">
        <f>'E.1 - Franchise Tax Revenues'!#REF!</f>
        <v>#REF!</v>
      </c>
      <c r="Q10" s="785" t="e">
        <f>'E.1 - Franchise Tax Revenues'!#REF!</f>
        <v>#REF!</v>
      </c>
      <c r="R10" s="785" t="e">
        <f>'E.1 - Franchise Tax Revenues'!#REF!</f>
        <v>#REF!</v>
      </c>
      <c r="S10" s="785" t="e">
        <f>'E.1 - Franchise Tax Revenues'!#REF!</f>
        <v>#REF!</v>
      </c>
      <c r="T10" s="785" t="e">
        <f>'E.1 - Franchise Tax Revenues'!#REF!</f>
        <v>#REF!</v>
      </c>
      <c r="U10" s="785" t="e">
        <f>'E.1 - Franchise Tax Revenues'!#REF!</f>
        <v>#REF!</v>
      </c>
      <c r="V10" s="785" t="e">
        <f>'E.1 - Franchise Tax Revenues'!#REF!</f>
        <v>#REF!</v>
      </c>
      <c r="W10" s="785" t="e">
        <f>'E.1 - Franchise Tax Revenues'!#REF!</f>
        <v>#REF!</v>
      </c>
      <c r="X10" s="785" t="e">
        <f>'E.1 - Franchise Tax Revenues'!#REF!</f>
        <v>#REF!</v>
      </c>
      <c r="Y10" s="782" t="e">
        <f>SUM(D10:X10)</f>
        <v>#REF!</v>
      </c>
      <c r="Z10" s="783" t="e">
        <f>NPV($Z$6,D10:X10)</f>
        <v>#REF!</v>
      </c>
    </row>
    <row r="11" spans="2:27" ht="15.25" customHeight="1" x14ac:dyDescent="0.15">
      <c r="B11" s="764" t="s">
        <v>1219</v>
      </c>
      <c r="C11" s="785">
        <f>'E.1 - Franchise Tax Revenues'!G27</f>
        <v>0</v>
      </c>
      <c r="D11" s="785">
        <v>0</v>
      </c>
      <c r="E11" s="785">
        <f>'E.1 - Franchise Tax Revenues'!G27</f>
        <v>0</v>
      </c>
      <c r="F11" s="785">
        <f>'E.1 - Franchise Tax Revenues'!H27</f>
        <v>0</v>
      </c>
      <c r="G11" s="785">
        <f>'E.1 - Franchise Tax Revenues'!I27</f>
        <v>0</v>
      </c>
      <c r="H11" s="785">
        <f>'E.1 - Franchise Tax Revenues'!J27</f>
        <v>0</v>
      </c>
      <c r="I11" s="785">
        <f>'E.1 - Franchise Tax Revenues'!K27</f>
        <v>0</v>
      </c>
      <c r="J11" s="785">
        <f>'E.1 - Franchise Tax Revenues'!L27</f>
        <v>0</v>
      </c>
      <c r="K11" s="785">
        <f>'E.1 - Franchise Tax Revenues'!M27</f>
        <v>0</v>
      </c>
      <c r="L11" s="785">
        <f>'E.1 - Franchise Tax Revenues'!N27</f>
        <v>0</v>
      </c>
      <c r="M11" s="785">
        <f>'E.1 - Franchise Tax Revenues'!O27</f>
        <v>0</v>
      </c>
      <c r="N11" s="785">
        <f>'E.1 - Franchise Tax Revenues'!P27</f>
        <v>0</v>
      </c>
      <c r="O11" s="785">
        <f>'E.1 - Franchise Tax Revenues'!Q27</f>
        <v>0</v>
      </c>
      <c r="P11" s="785">
        <f>'E.1 - Franchise Tax Revenues'!R27</f>
        <v>0</v>
      </c>
      <c r="Q11" s="785">
        <f>'E.1 - Franchise Tax Revenues'!S27</f>
        <v>0</v>
      </c>
      <c r="R11" s="785">
        <f>'E.1 - Franchise Tax Revenues'!T27</f>
        <v>0</v>
      </c>
      <c r="S11" s="785">
        <f>'E.1 - Franchise Tax Revenues'!U27</f>
        <v>0</v>
      </c>
      <c r="T11" s="785">
        <f>'E.1 - Franchise Tax Revenues'!V27</f>
        <v>0</v>
      </c>
      <c r="U11" s="785">
        <f>'E.1 - Franchise Tax Revenues'!W27</f>
        <v>0</v>
      </c>
      <c r="V11" s="785">
        <f>'E.1 - Franchise Tax Revenues'!X27</f>
        <v>0</v>
      </c>
      <c r="W11" s="785">
        <f>'E.1 - Franchise Tax Revenues'!Y27</f>
        <v>0</v>
      </c>
      <c r="X11" s="785">
        <f>'E.1 - Franchise Tax Revenues'!Z27</f>
        <v>0</v>
      </c>
      <c r="Y11" s="782">
        <f>SUM(D11:X11)</f>
        <v>0</v>
      </c>
      <c r="Z11" s="783" t="e">
        <f>NPV($Z$6,D11:X11)</f>
        <v>#REF!</v>
      </c>
    </row>
    <row r="12" spans="2:27" ht="15.25" customHeight="1" thickBot="1" x14ac:dyDescent="0.2">
      <c r="B12" s="779" t="s">
        <v>1220</v>
      </c>
      <c r="C12" s="786">
        <f>'E.1 - Franchise Tax Revenues'!G12</f>
        <v>0</v>
      </c>
      <c r="D12" s="786">
        <v>0</v>
      </c>
      <c r="E12" s="786">
        <f>'E.1 - Franchise Tax Revenues'!G12</f>
        <v>0</v>
      </c>
      <c r="F12" s="786">
        <f>'E.1 - Franchise Tax Revenues'!H12</f>
        <v>0</v>
      </c>
      <c r="G12" s="786">
        <f>'E.1 - Franchise Tax Revenues'!I12</f>
        <v>0</v>
      </c>
      <c r="H12" s="786">
        <f>'E.1 - Franchise Tax Revenues'!J12</f>
        <v>0</v>
      </c>
      <c r="I12" s="786">
        <f>'E.1 - Franchise Tax Revenues'!K12</f>
        <v>0</v>
      </c>
      <c r="J12" s="786">
        <f>'E.1 - Franchise Tax Revenues'!L12</f>
        <v>0</v>
      </c>
      <c r="K12" s="786">
        <f>'E.1 - Franchise Tax Revenues'!M12</f>
        <v>0</v>
      </c>
      <c r="L12" s="786">
        <f>'E.1 - Franchise Tax Revenues'!N12</f>
        <v>0</v>
      </c>
      <c r="M12" s="786">
        <f>'E.1 - Franchise Tax Revenues'!O12</f>
        <v>0</v>
      </c>
      <c r="N12" s="786">
        <f>'E.1 - Franchise Tax Revenues'!P12</f>
        <v>0</v>
      </c>
      <c r="O12" s="786">
        <f>'E.1 - Franchise Tax Revenues'!Q12</f>
        <v>0</v>
      </c>
      <c r="P12" s="786">
        <f>'E.1 - Franchise Tax Revenues'!R12</f>
        <v>0</v>
      </c>
      <c r="Q12" s="786">
        <f>'E.1 - Franchise Tax Revenues'!S12</f>
        <v>0</v>
      </c>
      <c r="R12" s="786">
        <f>'E.1 - Franchise Tax Revenues'!T12</f>
        <v>0</v>
      </c>
      <c r="S12" s="786">
        <f>'E.1 - Franchise Tax Revenues'!U12</f>
        <v>0</v>
      </c>
      <c r="T12" s="786">
        <f>'E.1 - Franchise Tax Revenues'!V12</f>
        <v>0</v>
      </c>
      <c r="U12" s="786">
        <f>'E.1 - Franchise Tax Revenues'!W12</f>
        <v>0</v>
      </c>
      <c r="V12" s="786">
        <f>'E.1 - Franchise Tax Revenues'!X12</f>
        <v>0</v>
      </c>
      <c r="W12" s="786">
        <f>'E.1 - Franchise Tax Revenues'!Y12</f>
        <v>0</v>
      </c>
      <c r="X12" s="786">
        <f>'E.1 - Franchise Tax Revenues'!Z12</f>
        <v>0</v>
      </c>
      <c r="Y12" s="787">
        <f>SUM(D12:X12)</f>
        <v>0</v>
      </c>
      <c r="Z12" s="788" t="e">
        <f>NPV($Z$6,D12:X12)</f>
        <v>#REF!</v>
      </c>
    </row>
    <row r="13" spans="2:27" ht="13" thickTop="1" thickBot="1" x14ac:dyDescent="0.2">
      <c r="B13" s="765" t="s">
        <v>71</v>
      </c>
      <c r="C13" s="789"/>
      <c r="D13" s="789">
        <f t="shared" ref="D13:N13" si="8">SUM(D8:D12)</f>
        <v>0</v>
      </c>
      <c r="E13" s="789" t="e">
        <f t="shared" si="8"/>
        <v>#REF!</v>
      </c>
      <c r="F13" s="789" t="e">
        <f t="shared" si="8"/>
        <v>#REF!</v>
      </c>
      <c r="G13" s="789" t="e">
        <f t="shared" si="8"/>
        <v>#REF!</v>
      </c>
      <c r="H13" s="789" t="e">
        <f>SUM(H8:H12)</f>
        <v>#REF!</v>
      </c>
      <c r="I13" s="789" t="e">
        <f t="shared" si="8"/>
        <v>#REF!</v>
      </c>
      <c r="J13" s="789" t="e">
        <f t="shared" si="8"/>
        <v>#REF!</v>
      </c>
      <c r="K13" s="789" t="e">
        <f t="shared" si="8"/>
        <v>#REF!</v>
      </c>
      <c r="L13" s="789" t="e">
        <f t="shared" si="8"/>
        <v>#REF!</v>
      </c>
      <c r="M13" s="789" t="e">
        <f t="shared" si="8"/>
        <v>#REF!</v>
      </c>
      <c r="N13" s="789" t="e">
        <f t="shared" si="8"/>
        <v>#REF!</v>
      </c>
      <c r="O13" s="789" t="e">
        <f>SUM(O8:O12)</f>
        <v>#REF!</v>
      </c>
      <c r="P13" s="789" t="e">
        <f>SUM(P8:P12)</f>
        <v>#REF!</v>
      </c>
      <c r="Q13" s="789" t="e">
        <f>SUM(Q8:Q12)</f>
        <v>#REF!</v>
      </c>
      <c r="R13" s="789" t="e">
        <f>SUM(R8:R12)</f>
        <v>#REF!</v>
      </c>
      <c r="S13" s="789" t="e">
        <f t="shared" ref="S13:X13" si="9">SUM(S8:S12)</f>
        <v>#REF!</v>
      </c>
      <c r="T13" s="789" t="e">
        <f t="shared" si="9"/>
        <v>#REF!</v>
      </c>
      <c r="U13" s="789" t="e">
        <f t="shared" si="9"/>
        <v>#REF!</v>
      </c>
      <c r="V13" s="789" t="e">
        <f t="shared" si="9"/>
        <v>#REF!</v>
      </c>
      <c r="W13" s="789" t="e">
        <f t="shared" si="9"/>
        <v>#REF!</v>
      </c>
      <c r="X13" s="789" t="e">
        <f t="shared" si="9"/>
        <v>#REF!</v>
      </c>
      <c r="Y13" s="790" t="e">
        <f>SUM(D13:X13)</f>
        <v>#REF!</v>
      </c>
      <c r="Z13" s="791" t="e">
        <f>SUM(Z8:Z12)</f>
        <v>#REF!</v>
      </c>
      <c r="AA13" s="766"/>
    </row>
    <row r="14" spans="2:27" s="767" customFormat="1" ht="9" customHeight="1" thickBot="1" x14ac:dyDescent="0.2">
      <c r="B14" s="840"/>
      <c r="C14" s="792"/>
      <c r="D14" s="792"/>
      <c r="E14" s="793"/>
      <c r="F14" s="793"/>
      <c r="G14" s="793"/>
      <c r="H14" s="793"/>
      <c r="I14" s="793"/>
      <c r="J14" s="793"/>
      <c r="K14" s="793"/>
      <c r="L14" s="793"/>
      <c r="M14" s="793"/>
      <c r="N14" s="793"/>
      <c r="O14" s="793"/>
      <c r="P14" s="793"/>
      <c r="Q14" s="793"/>
      <c r="R14" s="793"/>
      <c r="S14" s="793"/>
      <c r="T14" s="793"/>
      <c r="U14" s="793"/>
      <c r="V14" s="793"/>
      <c r="W14" s="793"/>
      <c r="X14" s="793"/>
      <c r="Y14" s="794"/>
      <c r="Z14" s="795" t="e">
        <f>NPV($Z$6,E14:X14)</f>
        <v>#REF!</v>
      </c>
    </row>
    <row r="15" spans="2:27" x14ac:dyDescent="0.15">
      <c r="B15" s="768" t="s">
        <v>70</v>
      </c>
      <c r="C15" s="796"/>
      <c r="D15" s="796"/>
      <c r="E15" s="796"/>
      <c r="F15" s="796"/>
      <c r="G15" s="796"/>
      <c r="H15" s="796"/>
      <c r="I15" s="796"/>
      <c r="J15" s="796"/>
      <c r="K15" s="796"/>
      <c r="L15" s="796"/>
      <c r="M15" s="796"/>
      <c r="N15" s="796"/>
      <c r="O15" s="796"/>
      <c r="P15" s="796"/>
      <c r="Q15" s="796"/>
      <c r="R15" s="796"/>
      <c r="S15" s="796"/>
      <c r="T15" s="796"/>
      <c r="U15" s="796"/>
      <c r="V15" s="796"/>
      <c r="W15" s="796"/>
      <c r="X15" s="796"/>
      <c r="Y15" s="797"/>
      <c r="Z15" s="798"/>
    </row>
    <row r="16" spans="2:27" ht="15.5" customHeight="1" x14ac:dyDescent="0.15">
      <c r="B16" s="839" t="s">
        <v>1359</v>
      </c>
      <c r="C16" s="785"/>
      <c r="D16" s="799">
        <v>0</v>
      </c>
      <c r="E16" s="800" t="e">
        <f>#REF!</f>
        <v>#REF!</v>
      </c>
      <c r="F16" s="800" t="e">
        <f>#REF!</f>
        <v>#REF!</v>
      </c>
      <c r="G16" s="800" t="e">
        <f>#REF!</f>
        <v>#REF!</v>
      </c>
      <c r="H16" s="800" t="e">
        <f>#REF!</f>
        <v>#REF!</v>
      </c>
      <c r="I16" s="800" t="e">
        <f>#REF!</f>
        <v>#REF!</v>
      </c>
      <c r="J16" s="800" t="e">
        <f>#REF!</f>
        <v>#REF!</v>
      </c>
      <c r="K16" s="800" t="e">
        <f>#REF!</f>
        <v>#REF!</v>
      </c>
      <c r="L16" s="800" t="e">
        <f>#REF!</f>
        <v>#REF!</v>
      </c>
      <c r="M16" s="800" t="e">
        <f>#REF!</f>
        <v>#REF!</v>
      </c>
      <c r="N16" s="800" t="e">
        <f>#REF!</f>
        <v>#REF!</v>
      </c>
      <c r="O16" s="800" t="e">
        <f>#REF!</f>
        <v>#REF!</v>
      </c>
      <c r="P16" s="800" t="e">
        <f>#REF!</f>
        <v>#REF!</v>
      </c>
      <c r="Q16" s="800" t="e">
        <f>#REF!</f>
        <v>#REF!</v>
      </c>
      <c r="R16" s="800" t="e">
        <f>#REF!</f>
        <v>#REF!</v>
      </c>
      <c r="S16" s="800" t="e">
        <f>#REF!</f>
        <v>#REF!</v>
      </c>
      <c r="T16" s="800" t="e">
        <f>#REF!</f>
        <v>#REF!</v>
      </c>
      <c r="U16" s="800" t="e">
        <f>#REF!</f>
        <v>#REF!</v>
      </c>
      <c r="V16" s="800" t="e">
        <f>#REF!</f>
        <v>#REF!</v>
      </c>
      <c r="W16" s="800" t="e">
        <f>#REF!</f>
        <v>#REF!</v>
      </c>
      <c r="X16" s="800" t="e">
        <f>#REF!</f>
        <v>#REF!</v>
      </c>
      <c r="Y16" s="782" t="e">
        <f>SUM(E16:X16)</f>
        <v>#REF!</v>
      </c>
      <c r="Z16" s="783" t="e">
        <f>NPV($Z$6,E16:X16)</f>
        <v>#REF!</v>
      </c>
    </row>
    <row r="17" spans="2:29" s="753" customFormat="1" ht="15.5" customHeight="1" x14ac:dyDescent="0.15">
      <c r="B17" s="764" t="s">
        <v>69</v>
      </c>
      <c r="C17" s="785">
        <f>'F.1 - City Expenditures'!E10</f>
        <v>7780.2640278715462</v>
      </c>
      <c r="D17" s="785">
        <v>0</v>
      </c>
      <c r="E17" s="785">
        <f>'F.1 - City Expenditures'!E10</f>
        <v>7780.2640278715462</v>
      </c>
      <c r="F17" s="785">
        <f>'F.1 - City Expenditures'!F10</f>
        <v>16338.858683821094</v>
      </c>
      <c r="G17" s="785">
        <f>'F.1 - City Expenditures'!G10</f>
        <v>18490.751600138316</v>
      </c>
      <c r="H17" s="785">
        <f>'F.1 - City Expenditures'!H10</f>
        <v>21988.246956900915</v>
      </c>
      <c r="I17" s="785">
        <f>'F.1 - City Expenditures'!I10</f>
        <v>25339.607073438216</v>
      </c>
      <c r="J17" s="785">
        <f>'F.1 - City Expenditures'!J10</f>
        <v>29123.605919267779</v>
      </c>
      <c r="K17" s="785">
        <f>'F.1 - City Expenditures'!K10</f>
        <v>32222.098074486494</v>
      </c>
      <c r="L17" s="785">
        <f>'F.1 - City Expenditures'!L10</f>
        <v>35518.035118425534</v>
      </c>
      <c r="M17" s="785">
        <f>'F.1 - City Expenditures'!M10</f>
        <v>39088.936653270663</v>
      </c>
      <c r="N17" s="785">
        <f>'F.1 - City Expenditures'!N10</f>
        <v>43091.34125965985</v>
      </c>
      <c r="O17" s="785">
        <f>'F.1 - City Expenditures'!O10</f>
        <v>48265.439347774845</v>
      </c>
      <c r="P17" s="785">
        <f>'F.1 - City Expenditures'!P10</f>
        <v>52753.498488162833</v>
      </c>
      <c r="Q17" s="785">
        <f>'F.1 - City Expenditures'!Q10</f>
        <v>57507.019195096487</v>
      </c>
      <c r="R17" s="785">
        <f>'F.1 - City Expenditures'!R10</f>
        <v>58944.694674973915</v>
      </c>
      <c r="S17" s="785">
        <f>'F.1 - City Expenditures'!S10</f>
        <v>60418.312041848243</v>
      </c>
      <c r="T17" s="785">
        <f>'F.1 - City Expenditures'!T10</f>
        <v>61928.769842894442</v>
      </c>
      <c r="U17" s="785">
        <f>'F.1 - City Expenditures'!U10</f>
        <v>63476.98908896681</v>
      </c>
      <c r="V17" s="785">
        <f>'F.1 - City Expenditures'!V10</f>
        <v>65063.913816190994</v>
      </c>
      <c r="W17" s="785">
        <f>'F.1 - City Expenditures'!W10</f>
        <v>66690.511661595752</v>
      </c>
      <c r="X17" s="785">
        <f>'F.1 - City Expenditures'!X10</f>
        <v>68357.774453135629</v>
      </c>
      <c r="Y17" s="782">
        <f>SUM(D17:X17)</f>
        <v>872388.66797792038</v>
      </c>
      <c r="Z17" s="783" t="e">
        <f>NPV($Z$6,E17:X17)</f>
        <v>#REF!</v>
      </c>
    </row>
    <row r="18" spans="2:29" s="753" customFormat="1" ht="15.5" customHeight="1" x14ac:dyDescent="0.15">
      <c r="B18" s="764" t="s">
        <v>68</v>
      </c>
      <c r="C18" s="785">
        <f>'F.1 - City Expenditures'!E46</f>
        <v>6551.1905742334702</v>
      </c>
      <c r="D18" s="785">
        <v>0</v>
      </c>
      <c r="E18" s="785">
        <f>'F.1 - City Expenditures'!E46</f>
        <v>6551.1905742334702</v>
      </c>
      <c r="F18" s="785">
        <f>'F.1 - City Expenditures'!F46</f>
        <v>13757.75637172871</v>
      </c>
      <c r="G18" s="785">
        <f>'F.1 - City Expenditures'!G46</f>
        <v>15569.707809319421</v>
      </c>
      <c r="H18" s="785">
        <f>'F.1 - City Expenditures'!H46</f>
        <v>18514.692520965091</v>
      </c>
      <c r="I18" s="785">
        <f>'F.1 - City Expenditures'!I46</f>
        <v>21336.627448580584</v>
      </c>
      <c r="J18" s="785">
        <f>'F.1 - City Expenditures'!J46</f>
        <v>24522.855767170269</v>
      </c>
      <c r="K18" s="785">
        <f>'F.1 - City Expenditures'!K46</f>
        <v>27131.869102564546</v>
      </c>
      <c r="L18" s="785">
        <f>'F.1 - City Expenditures'!L46</f>
        <v>29907.136319482808</v>
      </c>
      <c r="M18" s="785">
        <f>'F.1 - City Expenditures'!M46</f>
        <v>32913.93099801676</v>
      </c>
      <c r="N18" s="785">
        <f>'F.1 - City Expenditures'!N46</f>
        <v>36284.062813301513</v>
      </c>
      <c r="O18" s="785">
        <f>'F.1 - City Expenditures'!O46</f>
        <v>40640.791904189638</v>
      </c>
      <c r="P18" s="785">
        <f>'F.1 - City Expenditures'!P46</f>
        <v>44419.857837143041</v>
      </c>
      <c r="Q18" s="785">
        <f>'F.1 - City Expenditures'!Q46</f>
        <v>48422.449515025553</v>
      </c>
      <c r="R18" s="785">
        <f>'F.1 - City Expenditures'!R46</f>
        <v>49633.010752901202</v>
      </c>
      <c r="S18" s="785">
        <f>'F.1 - City Expenditures'!S46</f>
        <v>50873.836021723735</v>
      </c>
      <c r="T18" s="785">
        <f>'F.1 - City Expenditures'!T46</f>
        <v>52145.681922266813</v>
      </c>
      <c r="U18" s="785">
        <f>'F.1 - City Expenditures'!U46</f>
        <v>53449.323970323487</v>
      </c>
      <c r="V18" s="785">
        <f>'F.1 - City Expenditures'!V46</f>
        <v>54785.557069581577</v>
      </c>
      <c r="W18" s="785">
        <f>'F.1 - City Expenditures'!W46</f>
        <v>56155.195996321105</v>
      </c>
      <c r="X18" s="785">
        <f>'F.1 - City Expenditures'!X46</f>
        <v>57559.075896229129</v>
      </c>
      <c r="Y18" s="782">
        <f>SUM(D18:X18)</f>
        <v>734574.61061106855</v>
      </c>
      <c r="Z18" s="783" t="e">
        <f>NPV($Z$6,E18:X18)</f>
        <v>#REF!</v>
      </c>
    </row>
    <row r="19" spans="2:29" s="753" customFormat="1" ht="15.5" customHeight="1" x14ac:dyDescent="0.15">
      <c r="B19" s="769" t="s">
        <v>67</v>
      </c>
      <c r="C19" s="801">
        <f>'F.1 - City Expenditures'!E28</f>
        <v>11806.039903103321</v>
      </c>
      <c r="D19" s="801">
        <v>0</v>
      </c>
      <c r="E19" s="801">
        <f>'F.1 - City Expenditures'!E28</f>
        <v>11806.039903103321</v>
      </c>
      <c r="F19" s="801">
        <f>'F.1 - City Expenditures'!F28</f>
        <v>24793.145438424042</v>
      </c>
      <c r="G19" s="801">
        <f>'F.1 - City Expenditures'!G28</f>
        <v>28058.501671353399</v>
      </c>
      <c r="H19" s="801">
        <f>'F.1 - City Expenditures'!H28</f>
        <v>33365.721271477181</v>
      </c>
      <c r="I19" s="801">
        <f>'F.1 - City Expenditures'!I28</f>
        <v>38451.190238053176</v>
      </c>
      <c r="J19" s="801">
        <f>'F.1 - City Expenditures'!J28</f>
        <v>44193.160074439598</v>
      </c>
      <c r="K19" s="801">
        <f>'F.1 - City Expenditures'!K28</f>
        <v>48894.918510004194</v>
      </c>
      <c r="L19" s="801">
        <f>'F.1 - City Expenditures'!L28</f>
        <v>53896.286602329194</v>
      </c>
      <c r="M19" s="801">
        <f>'F.1 - City Expenditures'!M28</f>
        <v>59314.895258720469</v>
      </c>
      <c r="N19" s="801">
        <f>'F.1 - City Expenditures'!N28</f>
        <v>65388.281498842996</v>
      </c>
      <c r="O19" s="801">
        <f>'F.1 - City Expenditures'!O28</f>
        <v>73239.635678087652</v>
      </c>
      <c r="P19" s="801">
        <f>'F.1 - City Expenditures'!P28</f>
        <v>80049.970791278378</v>
      </c>
      <c r="Q19" s="801">
        <f>'F.1 - City Expenditures'!Q28</f>
        <v>87263.126404666924</v>
      </c>
      <c r="R19" s="801">
        <f>'F.1 - City Expenditures'!R28</f>
        <v>89444.704564783606</v>
      </c>
      <c r="S19" s="801">
        <f>'F.1 - City Expenditures'!S28</f>
        <v>91680.822178903181</v>
      </c>
      <c r="T19" s="801">
        <f>'F.1 - City Expenditures'!T28</f>
        <v>93972.842733375757</v>
      </c>
      <c r="U19" s="801">
        <f>'F.1 - City Expenditures'!U28</f>
        <v>96322.163801710165</v>
      </c>
      <c r="V19" s="801">
        <f>'F.1 - City Expenditures'!V28</f>
        <v>98730.217896752903</v>
      </c>
      <c r="W19" s="801">
        <f>'F.1 - City Expenditures'!W28</f>
        <v>101198.47334417174</v>
      </c>
      <c r="X19" s="801">
        <f>'F.1 - City Expenditures'!X28</f>
        <v>103728.435177776</v>
      </c>
      <c r="Y19" s="782">
        <f>SUM(D19:X19)</f>
        <v>1323792.5330382537</v>
      </c>
      <c r="Z19" s="783" t="e">
        <f>NPV($Z$6,E19:X19)</f>
        <v>#REF!</v>
      </c>
    </row>
    <row r="20" spans="2:29" s="753" customFormat="1" ht="15.5" customHeight="1" thickBot="1" x14ac:dyDescent="0.2">
      <c r="B20" s="780" t="s">
        <v>1361</v>
      </c>
      <c r="C20" s="786" t="e">
        <f>'F.1 - City Expenditures'!#REF!</f>
        <v>#REF!</v>
      </c>
      <c r="D20" s="786">
        <v>0</v>
      </c>
      <c r="E20" s="786" t="e">
        <f>'F.1 - City Expenditures'!#REF!</f>
        <v>#REF!</v>
      </c>
      <c r="F20" s="786" t="e">
        <f>'F.1 - City Expenditures'!#REF!</f>
        <v>#REF!</v>
      </c>
      <c r="G20" s="786" t="e">
        <f>'F.1 - City Expenditures'!#REF!</f>
        <v>#REF!</v>
      </c>
      <c r="H20" s="786" t="e">
        <f>'F.1 - City Expenditures'!#REF!</f>
        <v>#REF!</v>
      </c>
      <c r="I20" s="786" t="e">
        <f>'F.1 - City Expenditures'!#REF!</f>
        <v>#REF!</v>
      </c>
      <c r="J20" s="786" t="e">
        <f>'F.1 - City Expenditures'!#REF!</f>
        <v>#REF!</v>
      </c>
      <c r="K20" s="786" t="e">
        <f>'F.1 - City Expenditures'!#REF!</f>
        <v>#REF!</v>
      </c>
      <c r="L20" s="786" t="e">
        <f>'F.1 - City Expenditures'!#REF!</f>
        <v>#REF!</v>
      </c>
      <c r="M20" s="786" t="e">
        <f>'F.1 - City Expenditures'!#REF!</f>
        <v>#REF!</v>
      </c>
      <c r="N20" s="786" t="e">
        <f>'F.1 - City Expenditures'!#REF!</f>
        <v>#REF!</v>
      </c>
      <c r="O20" s="786" t="e">
        <f>'F.1 - City Expenditures'!#REF!</f>
        <v>#REF!</v>
      </c>
      <c r="P20" s="786" t="e">
        <f>'F.1 - City Expenditures'!#REF!</f>
        <v>#REF!</v>
      </c>
      <c r="Q20" s="786" t="e">
        <f>'F.1 - City Expenditures'!#REF!</f>
        <v>#REF!</v>
      </c>
      <c r="R20" s="786" t="e">
        <f>'F.1 - City Expenditures'!#REF!</f>
        <v>#REF!</v>
      </c>
      <c r="S20" s="786" t="e">
        <f>'F.1 - City Expenditures'!#REF!</f>
        <v>#REF!</v>
      </c>
      <c r="T20" s="786" t="e">
        <f>'F.1 - City Expenditures'!#REF!</f>
        <v>#REF!</v>
      </c>
      <c r="U20" s="786" t="e">
        <f>'F.1 - City Expenditures'!#REF!</f>
        <v>#REF!</v>
      </c>
      <c r="V20" s="786" t="e">
        <f>'F.1 - City Expenditures'!#REF!</f>
        <v>#REF!</v>
      </c>
      <c r="W20" s="786" t="e">
        <f>'F.1 - City Expenditures'!#REF!</f>
        <v>#REF!</v>
      </c>
      <c r="X20" s="786" t="e">
        <f>'F.1 - City Expenditures'!#REF!</f>
        <v>#REF!</v>
      </c>
      <c r="Y20" s="815" t="e">
        <f>SUM(D20:X20)</f>
        <v>#REF!</v>
      </c>
      <c r="Z20" s="788" t="e">
        <f>NPV($Z$6,E20:X20)</f>
        <v>#REF!</v>
      </c>
    </row>
    <row r="21" spans="2:29" ht="13" thickTop="1" thickBot="1" x14ac:dyDescent="0.2">
      <c r="B21" s="765" t="s">
        <v>66</v>
      </c>
      <c r="C21" s="789"/>
      <c r="D21" s="789">
        <f>SUM(D16:D20)</f>
        <v>0</v>
      </c>
      <c r="E21" s="789" t="e">
        <f t="shared" ref="E21:N21" si="10">SUM(E16:E20)</f>
        <v>#REF!</v>
      </c>
      <c r="F21" s="789" t="e">
        <f t="shared" si="10"/>
        <v>#REF!</v>
      </c>
      <c r="G21" s="789" t="e">
        <f t="shared" si="10"/>
        <v>#REF!</v>
      </c>
      <c r="H21" s="789" t="e">
        <f>SUM(H16:H20)</f>
        <v>#REF!</v>
      </c>
      <c r="I21" s="789" t="e">
        <f t="shared" si="10"/>
        <v>#REF!</v>
      </c>
      <c r="J21" s="789" t="e">
        <f t="shared" si="10"/>
        <v>#REF!</v>
      </c>
      <c r="K21" s="789" t="e">
        <f t="shared" si="10"/>
        <v>#REF!</v>
      </c>
      <c r="L21" s="789" t="e">
        <f t="shared" si="10"/>
        <v>#REF!</v>
      </c>
      <c r="M21" s="789" t="e">
        <f t="shared" si="10"/>
        <v>#REF!</v>
      </c>
      <c r="N21" s="789" t="e">
        <f t="shared" si="10"/>
        <v>#REF!</v>
      </c>
      <c r="O21" s="789" t="e">
        <f>SUM(O16:O20)</f>
        <v>#REF!</v>
      </c>
      <c r="P21" s="789" t="e">
        <f>SUM(P16:P20)</f>
        <v>#REF!</v>
      </c>
      <c r="Q21" s="789" t="e">
        <f>SUM(Q16:Q20)</f>
        <v>#REF!</v>
      </c>
      <c r="R21" s="789" t="e">
        <f>SUM(R16:R20)</f>
        <v>#REF!</v>
      </c>
      <c r="S21" s="789" t="e">
        <f t="shared" ref="S21:X21" si="11">SUM(S16:S20)</f>
        <v>#REF!</v>
      </c>
      <c r="T21" s="789" t="e">
        <f t="shared" si="11"/>
        <v>#REF!</v>
      </c>
      <c r="U21" s="789" t="e">
        <f t="shared" si="11"/>
        <v>#REF!</v>
      </c>
      <c r="V21" s="789" t="e">
        <f t="shared" si="11"/>
        <v>#REF!</v>
      </c>
      <c r="W21" s="789" t="e">
        <f t="shared" si="11"/>
        <v>#REF!</v>
      </c>
      <c r="X21" s="789" t="e">
        <f t="shared" si="11"/>
        <v>#REF!</v>
      </c>
      <c r="Y21" s="790" t="e">
        <f>SUM(D21:X21)</f>
        <v>#REF!</v>
      </c>
      <c r="Z21" s="791" t="e">
        <f>SUM(Z16:Z20)</f>
        <v>#REF!</v>
      </c>
    </row>
    <row r="22" spans="2:29" ht="12" thickBot="1" x14ac:dyDescent="0.2">
      <c r="C22" s="802"/>
      <c r="D22" s="802"/>
      <c r="E22" s="802"/>
      <c r="F22" s="802"/>
      <c r="G22" s="802"/>
      <c r="H22" s="802"/>
      <c r="I22" s="802"/>
      <c r="J22" s="802"/>
      <c r="K22" s="802"/>
      <c r="L22" s="802"/>
      <c r="M22" s="802"/>
      <c r="N22" s="802"/>
      <c r="O22" s="802"/>
      <c r="P22" s="802"/>
      <c r="Q22" s="802"/>
      <c r="R22" s="802"/>
      <c r="S22" s="802"/>
      <c r="T22" s="802"/>
      <c r="U22" s="802"/>
      <c r="V22" s="802"/>
      <c r="W22" s="802"/>
      <c r="X22" s="802"/>
      <c r="Y22" s="802"/>
      <c r="Z22" s="802"/>
      <c r="AA22" s="690"/>
      <c r="AB22" s="568"/>
    </row>
    <row r="23" spans="2:29" ht="12" thickBot="1" x14ac:dyDescent="0.2">
      <c r="B23" s="770" t="s">
        <v>1363</v>
      </c>
      <c r="C23" s="803"/>
      <c r="D23" s="803">
        <f t="shared" ref="D23:N23" si="12">D13-D21</f>
        <v>0</v>
      </c>
      <c r="E23" s="803" t="e">
        <f t="shared" si="12"/>
        <v>#REF!</v>
      </c>
      <c r="F23" s="803" t="e">
        <f t="shared" si="12"/>
        <v>#REF!</v>
      </c>
      <c r="G23" s="803" t="e">
        <f t="shared" si="12"/>
        <v>#REF!</v>
      </c>
      <c r="H23" s="803" t="e">
        <f t="shared" si="12"/>
        <v>#REF!</v>
      </c>
      <c r="I23" s="803" t="e">
        <f t="shared" si="12"/>
        <v>#REF!</v>
      </c>
      <c r="J23" s="803" t="e">
        <f t="shared" si="12"/>
        <v>#REF!</v>
      </c>
      <c r="K23" s="803" t="e">
        <f t="shared" si="12"/>
        <v>#REF!</v>
      </c>
      <c r="L23" s="803" t="e">
        <f t="shared" si="12"/>
        <v>#REF!</v>
      </c>
      <c r="M23" s="803" t="e">
        <f t="shared" si="12"/>
        <v>#REF!</v>
      </c>
      <c r="N23" s="803" t="e">
        <f t="shared" si="12"/>
        <v>#REF!</v>
      </c>
      <c r="O23" s="803" t="e">
        <f t="shared" ref="O23:Z23" si="13">O13-O21</f>
        <v>#REF!</v>
      </c>
      <c r="P23" s="803" t="e">
        <f t="shared" si="13"/>
        <v>#REF!</v>
      </c>
      <c r="Q23" s="803" t="e">
        <f t="shared" si="13"/>
        <v>#REF!</v>
      </c>
      <c r="R23" s="803" t="e">
        <f t="shared" si="13"/>
        <v>#REF!</v>
      </c>
      <c r="S23" s="803" t="e">
        <f t="shared" ref="S23:X23" si="14">S13-S21</f>
        <v>#REF!</v>
      </c>
      <c r="T23" s="803" t="e">
        <f t="shared" si="14"/>
        <v>#REF!</v>
      </c>
      <c r="U23" s="803" t="e">
        <f t="shared" si="14"/>
        <v>#REF!</v>
      </c>
      <c r="V23" s="803" t="e">
        <f t="shared" si="14"/>
        <v>#REF!</v>
      </c>
      <c r="W23" s="803" t="e">
        <f t="shared" si="14"/>
        <v>#REF!</v>
      </c>
      <c r="X23" s="803" t="e">
        <f t="shared" si="14"/>
        <v>#REF!</v>
      </c>
      <c r="Y23" s="804" t="e">
        <f t="shared" si="13"/>
        <v>#REF!</v>
      </c>
      <c r="Z23" s="805" t="e">
        <f t="shared" si="13"/>
        <v>#REF!</v>
      </c>
    </row>
    <row r="24" spans="2:29" x14ac:dyDescent="0.15">
      <c r="E24" s="568"/>
      <c r="F24" s="568"/>
      <c r="G24" s="568"/>
      <c r="H24" s="568"/>
      <c r="I24" s="568"/>
      <c r="J24" s="568"/>
      <c r="K24" s="568"/>
      <c r="L24" s="568"/>
      <c r="M24" s="568"/>
      <c r="N24" s="568"/>
      <c r="O24" s="568"/>
      <c r="P24" s="568"/>
      <c r="Q24" s="568"/>
      <c r="R24" s="568"/>
      <c r="S24" s="897"/>
      <c r="T24" s="897"/>
      <c r="U24" s="897"/>
      <c r="V24" s="897"/>
      <c r="W24" s="897"/>
      <c r="X24" s="897"/>
      <c r="Y24" s="568"/>
      <c r="Z24" s="568"/>
      <c r="AA24" s="568"/>
      <c r="AB24" s="568"/>
    </row>
    <row r="25" spans="2:29" x14ac:dyDescent="0.15">
      <c r="B25" s="758" t="s">
        <v>1221</v>
      </c>
      <c r="E25" s="568"/>
      <c r="F25" s="568"/>
      <c r="G25" s="568"/>
      <c r="H25" s="568"/>
      <c r="I25" s="568"/>
      <c r="J25" s="568"/>
      <c r="K25" s="568"/>
      <c r="L25" s="568"/>
      <c r="M25" s="568"/>
      <c r="N25" s="568"/>
      <c r="O25" s="568"/>
      <c r="P25" s="568"/>
      <c r="Q25" s="568"/>
      <c r="R25" s="568"/>
      <c r="S25" s="897"/>
      <c r="T25" s="897"/>
      <c r="U25" s="897"/>
      <c r="V25" s="897"/>
      <c r="W25" s="897"/>
      <c r="X25" s="897"/>
      <c r="Y25" s="568"/>
      <c r="Z25" s="568"/>
      <c r="AA25" s="568"/>
      <c r="AB25" s="568"/>
      <c r="AC25" s="568"/>
    </row>
    <row r="26" spans="2:29" x14ac:dyDescent="0.15">
      <c r="E26" s="568"/>
      <c r="F26" s="568"/>
      <c r="G26" s="568"/>
      <c r="H26" s="568"/>
      <c r="I26" s="568"/>
      <c r="J26" s="568"/>
      <c r="K26" s="568"/>
      <c r="L26" s="568"/>
      <c r="M26" s="568"/>
      <c r="N26" s="568"/>
      <c r="O26" s="568"/>
      <c r="P26" s="568"/>
      <c r="Q26" s="568"/>
      <c r="R26" s="568"/>
      <c r="S26" s="897"/>
      <c r="T26" s="897"/>
      <c r="U26" s="897"/>
      <c r="V26" s="897"/>
      <c r="W26" s="897"/>
      <c r="X26" s="897"/>
      <c r="Y26" s="568"/>
      <c r="Z26" s="568"/>
      <c r="AA26" s="568"/>
      <c r="AB26" s="568"/>
      <c r="AC26" s="568"/>
    </row>
    <row r="27" spans="2:29" x14ac:dyDescent="0.15">
      <c r="B27" s="568"/>
      <c r="C27" s="778"/>
      <c r="D27" s="568"/>
      <c r="E27" s="568"/>
      <c r="F27" s="568"/>
      <c r="G27" s="568"/>
      <c r="H27" s="568"/>
      <c r="I27" s="568"/>
      <c r="J27" s="568"/>
      <c r="K27" s="568"/>
      <c r="L27" s="568"/>
      <c r="M27" s="568"/>
      <c r="N27" s="568"/>
      <c r="O27" s="568"/>
      <c r="P27" s="568"/>
      <c r="Q27" s="568"/>
      <c r="R27" s="568"/>
      <c r="S27" s="897"/>
      <c r="T27" s="897"/>
      <c r="U27" s="897"/>
      <c r="V27" s="897"/>
      <c r="W27" s="897"/>
      <c r="X27" s="897"/>
      <c r="Y27" s="568"/>
      <c r="Z27" s="568"/>
      <c r="AA27" s="568"/>
      <c r="AB27" s="568"/>
    </row>
    <row r="28" spans="2:29" x14ac:dyDescent="0.15">
      <c r="B28" s="568"/>
      <c r="C28" s="778"/>
      <c r="D28" s="568"/>
      <c r="E28" s="568"/>
      <c r="F28" s="568"/>
      <c r="G28" s="568"/>
      <c r="H28" s="568"/>
      <c r="I28" s="568"/>
      <c r="J28" s="568"/>
      <c r="K28" s="568"/>
      <c r="L28" s="568"/>
      <c r="M28" s="568"/>
      <c r="N28" s="568"/>
      <c r="O28" s="568"/>
      <c r="P28" s="568"/>
      <c r="Q28" s="568"/>
      <c r="R28" s="568"/>
      <c r="S28" s="897"/>
      <c r="T28" s="897"/>
      <c r="U28" s="897"/>
      <c r="V28" s="897"/>
      <c r="W28" s="897"/>
      <c r="X28" s="897"/>
      <c r="Y28" s="568"/>
      <c r="Z28" s="568"/>
      <c r="AA28" s="568"/>
      <c r="AB28" s="568"/>
    </row>
    <row r="29" spans="2:29" x14ac:dyDescent="0.15">
      <c r="B29" s="568"/>
      <c r="C29" s="778"/>
      <c r="D29" s="568"/>
      <c r="E29" s="568"/>
      <c r="F29" s="568"/>
      <c r="G29" s="568"/>
      <c r="H29" s="568"/>
      <c r="I29" s="568"/>
      <c r="J29" s="568"/>
      <c r="K29" s="568"/>
      <c r="L29" s="568"/>
      <c r="M29" s="568"/>
      <c r="N29" s="568"/>
      <c r="O29" s="568"/>
      <c r="P29" s="568"/>
      <c r="Q29" s="568"/>
      <c r="R29" s="568"/>
      <c r="S29" s="897"/>
      <c r="T29" s="897"/>
      <c r="U29" s="897"/>
      <c r="V29" s="897"/>
      <c r="W29" s="897"/>
      <c r="X29" s="897"/>
      <c r="Y29" s="568"/>
      <c r="Z29" s="568"/>
      <c r="AA29" s="568"/>
      <c r="AB29" s="568"/>
    </row>
    <row r="30" spans="2:29" x14ac:dyDescent="0.15">
      <c r="B30" s="568"/>
      <c r="C30" s="778"/>
      <c r="D30" s="568"/>
      <c r="E30" s="568"/>
      <c r="F30" s="568"/>
      <c r="G30" s="568"/>
      <c r="H30" s="568"/>
      <c r="I30" s="568"/>
      <c r="J30" s="568"/>
      <c r="K30" s="568"/>
      <c r="L30" s="568"/>
      <c r="M30" s="568"/>
      <c r="N30" s="568"/>
      <c r="O30" s="568"/>
      <c r="P30" s="568"/>
      <c r="Q30" s="568"/>
      <c r="R30" s="568"/>
      <c r="S30" s="897"/>
      <c r="T30" s="897"/>
      <c r="U30" s="897"/>
      <c r="V30" s="897"/>
      <c r="W30" s="897"/>
      <c r="X30" s="897"/>
      <c r="Y30" s="568"/>
      <c r="Z30" s="568"/>
      <c r="AA30" s="568"/>
      <c r="AB30" s="568"/>
    </row>
    <row r="31" spans="2:29" x14ac:dyDescent="0.15">
      <c r="B31" s="568"/>
      <c r="C31" s="778"/>
      <c r="D31" s="568"/>
      <c r="E31" s="568"/>
      <c r="F31" s="568"/>
      <c r="G31" s="568"/>
      <c r="H31" s="568"/>
      <c r="I31" s="568"/>
      <c r="J31" s="568"/>
      <c r="K31" s="568"/>
      <c r="L31" s="568"/>
      <c r="M31" s="568"/>
      <c r="N31" s="568"/>
      <c r="O31" s="568"/>
      <c r="P31" s="568"/>
      <c r="Q31" s="568"/>
      <c r="R31" s="568"/>
      <c r="S31" s="897"/>
      <c r="T31" s="897"/>
      <c r="U31" s="897"/>
      <c r="V31" s="897"/>
      <c r="W31" s="897"/>
      <c r="X31" s="897"/>
      <c r="Y31" s="568"/>
      <c r="Z31" s="568"/>
      <c r="AA31" s="568"/>
      <c r="AB31" s="568"/>
    </row>
    <row r="32" spans="2:29" x14ac:dyDescent="0.15">
      <c r="B32" s="568"/>
      <c r="C32" s="778"/>
      <c r="D32" s="568"/>
      <c r="E32" s="568"/>
      <c r="F32" s="568"/>
      <c r="G32" s="568"/>
      <c r="H32" s="568"/>
      <c r="I32" s="568"/>
      <c r="J32" s="568"/>
      <c r="K32" s="568"/>
      <c r="L32" s="568"/>
      <c r="M32" s="568"/>
      <c r="N32" s="568"/>
      <c r="O32" s="568"/>
      <c r="P32" s="568"/>
      <c r="Q32" s="568"/>
      <c r="R32" s="568"/>
      <c r="S32" s="897"/>
      <c r="T32" s="897"/>
      <c r="U32" s="897"/>
      <c r="V32" s="897"/>
      <c r="W32" s="897"/>
      <c r="X32" s="897"/>
      <c r="Y32" s="568"/>
      <c r="Z32" s="568"/>
      <c r="AA32" s="568"/>
      <c r="AB32" s="568"/>
    </row>
    <row r="33" spans="2:29" x14ac:dyDescent="0.15">
      <c r="B33" s="568"/>
      <c r="C33" s="778"/>
      <c r="D33" s="568"/>
      <c r="E33" s="568"/>
      <c r="F33" s="568"/>
      <c r="G33" s="568"/>
      <c r="H33" s="568"/>
      <c r="I33" s="568"/>
      <c r="J33" s="568"/>
      <c r="K33" s="568"/>
      <c r="L33" s="568"/>
      <c r="M33" s="568"/>
      <c r="N33" s="568"/>
      <c r="O33" s="568"/>
      <c r="P33" s="568"/>
      <c r="Q33" s="568"/>
      <c r="R33" s="568"/>
      <c r="S33" s="897"/>
      <c r="T33" s="897"/>
      <c r="U33" s="897"/>
      <c r="V33" s="897"/>
      <c r="W33" s="897"/>
      <c r="X33" s="897"/>
      <c r="Y33" s="568"/>
      <c r="Z33" s="568"/>
      <c r="AA33" s="568"/>
      <c r="AB33" s="568"/>
    </row>
    <row r="34" spans="2:29" x14ac:dyDescent="0.15">
      <c r="B34" s="568"/>
      <c r="C34" s="778"/>
      <c r="D34" s="568"/>
      <c r="E34" s="568"/>
      <c r="F34" s="568"/>
      <c r="G34" s="568"/>
      <c r="H34" s="568"/>
      <c r="I34" s="568"/>
      <c r="J34" s="568"/>
      <c r="K34" s="568"/>
      <c r="L34" s="568"/>
      <c r="M34" s="568"/>
      <c r="N34" s="568"/>
      <c r="O34" s="568"/>
      <c r="P34" s="568"/>
      <c r="Q34" s="568"/>
      <c r="R34" s="568"/>
      <c r="S34" s="897"/>
      <c r="T34" s="897"/>
      <c r="U34" s="897"/>
      <c r="V34" s="897"/>
      <c r="W34" s="897"/>
      <c r="X34" s="897"/>
      <c r="Y34" s="568"/>
      <c r="Z34" s="568"/>
      <c r="AA34" s="568"/>
      <c r="AB34" s="568"/>
    </row>
    <row r="35" spans="2:29" x14ac:dyDescent="0.15">
      <c r="B35" s="568"/>
      <c r="C35" s="778"/>
      <c r="D35" s="568"/>
      <c r="E35" s="568"/>
      <c r="F35" s="568"/>
      <c r="G35" s="568"/>
      <c r="H35" s="568"/>
      <c r="I35" s="568"/>
      <c r="J35" s="568"/>
      <c r="K35" s="568"/>
      <c r="L35" s="568"/>
      <c r="M35" s="568"/>
      <c r="N35" s="568"/>
      <c r="O35" s="568"/>
      <c r="P35" s="568"/>
      <c r="Q35" s="568"/>
      <c r="R35" s="568"/>
      <c r="S35" s="897"/>
      <c r="T35" s="897"/>
      <c r="U35" s="897"/>
      <c r="V35" s="897"/>
      <c r="W35" s="897"/>
      <c r="X35" s="897"/>
      <c r="Y35" s="568"/>
      <c r="Z35" s="568"/>
      <c r="AA35" s="568"/>
      <c r="AB35" s="568"/>
    </row>
    <row r="36" spans="2:29" x14ac:dyDescent="0.15">
      <c r="B36" s="568"/>
      <c r="C36" s="778"/>
      <c r="D36" s="568"/>
      <c r="E36" s="568"/>
      <c r="F36" s="568"/>
      <c r="G36" s="568"/>
      <c r="H36" s="568"/>
      <c r="I36" s="568"/>
      <c r="J36" s="568"/>
      <c r="K36" s="568"/>
      <c r="L36" s="568"/>
      <c r="M36" s="568"/>
      <c r="N36" s="568"/>
      <c r="O36" s="568"/>
      <c r="P36" s="568"/>
      <c r="Q36" s="568"/>
      <c r="R36" s="568"/>
      <c r="S36" s="897"/>
      <c r="T36" s="897"/>
      <c r="U36" s="897"/>
      <c r="V36" s="897"/>
      <c r="W36" s="897"/>
      <c r="X36" s="897"/>
      <c r="Y36" s="568"/>
      <c r="Z36" s="568"/>
      <c r="AA36" s="568"/>
      <c r="AB36" s="568"/>
    </row>
    <row r="37" spans="2:29" x14ac:dyDescent="0.15">
      <c r="B37" s="568"/>
      <c r="C37" s="778"/>
      <c r="D37" s="568"/>
      <c r="E37" s="568"/>
      <c r="F37" s="568"/>
      <c r="G37" s="568"/>
      <c r="H37" s="568"/>
      <c r="I37" s="568"/>
      <c r="J37" s="568"/>
      <c r="K37" s="568"/>
      <c r="L37" s="568"/>
      <c r="M37" s="568"/>
      <c r="N37" s="568"/>
      <c r="O37" s="568"/>
      <c r="P37" s="568"/>
      <c r="Q37" s="568"/>
      <c r="R37" s="568"/>
      <c r="S37" s="897"/>
      <c r="T37" s="897"/>
      <c r="U37" s="897"/>
      <c r="V37" s="897"/>
      <c r="W37" s="897"/>
      <c r="X37" s="897"/>
      <c r="Y37" s="568"/>
      <c r="Z37" s="568"/>
      <c r="AA37" s="568"/>
      <c r="AB37" s="568"/>
    </row>
    <row r="38" spans="2:29" x14ac:dyDescent="0.15">
      <c r="B38" s="568"/>
      <c r="C38" s="778"/>
      <c r="D38" s="568"/>
      <c r="E38" s="568"/>
      <c r="F38" s="568"/>
      <c r="G38" s="568"/>
      <c r="H38" s="568"/>
      <c r="I38" s="568"/>
      <c r="J38" s="568"/>
      <c r="K38" s="568"/>
      <c r="L38" s="568"/>
      <c r="M38" s="568"/>
      <c r="N38" s="568"/>
      <c r="O38" s="568"/>
      <c r="P38" s="568"/>
      <c r="Q38" s="568"/>
      <c r="R38" s="568"/>
      <c r="S38" s="897"/>
      <c r="T38" s="897"/>
      <c r="U38" s="897"/>
      <c r="V38" s="897"/>
      <c r="W38" s="897"/>
      <c r="X38" s="897"/>
      <c r="Y38" s="568"/>
      <c r="Z38" s="568"/>
      <c r="AA38" s="568"/>
      <c r="AB38" s="568"/>
    </row>
    <row r="39" spans="2:29" x14ac:dyDescent="0.15">
      <c r="B39" s="568"/>
      <c r="C39" s="778"/>
      <c r="D39" s="568"/>
      <c r="E39" s="568"/>
      <c r="F39" s="568"/>
      <c r="G39" s="568"/>
      <c r="H39" s="568"/>
      <c r="I39" s="568"/>
      <c r="J39" s="568"/>
      <c r="K39" s="568"/>
      <c r="L39" s="568"/>
      <c r="M39" s="568"/>
      <c r="N39" s="568"/>
      <c r="O39" s="568"/>
      <c r="P39" s="568"/>
      <c r="Q39" s="568"/>
      <c r="R39" s="568"/>
      <c r="S39" s="897"/>
      <c r="T39" s="897"/>
      <c r="U39" s="897"/>
      <c r="V39" s="897"/>
      <c r="W39" s="897"/>
      <c r="X39" s="897"/>
      <c r="Y39" s="568"/>
      <c r="Z39" s="568"/>
      <c r="AA39" s="568"/>
      <c r="AB39" s="568"/>
    </row>
    <row r="40" spans="2:29" x14ac:dyDescent="0.15">
      <c r="E40" s="568"/>
      <c r="F40" s="568"/>
      <c r="G40" s="568"/>
      <c r="H40" s="568"/>
      <c r="I40" s="568"/>
      <c r="J40" s="568"/>
      <c r="K40" s="568"/>
      <c r="L40" s="568"/>
      <c r="M40" s="568"/>
      <c r="N40" s="568"/>
      <c r="O40" s="568"/>
      <c r="P40" s="568"/>
      <c r="Q40" s="568"/>
      <c r="R40" s="568"/>
      <c r="S40" s="897"/>
      <c r="T40" s="897"/>
      <c r="U40" s="897"/>
      <c r="V40" s="897"/>
      <c r="W40" s="897"/>
      <c r="X40" s="897"/>
      <c r="Y40" s="568"/>
      <c r="Z40" s="568"/>
      <c r="AA40" s="568"/>
      <c r="AB40" s="568"/>
      <c r="AC40" s="568"/>
    </row>
    <row r="41" spans="2:29" x14ac:dyDescent="0.15">
      <c r="E41" s="568"/>
      <c r="F41" s="568"/>
      <c r="G41" s="568"/>
      <c r="H41" s="568"/>
      <c r="I41" s="568"/>
      <c r="J41" s="568"/>
      <c r="K41" s="568"/>
      <c r="L41" s="568"/>
      <c r="M41" s="568"/>
      <c r="N41" s="568"/>
      <c r="O41" s="568"/>
      <c r="P41" s="568"/>
      <c r="Q41" s="568"/>
      <c r="R41" s="568"/>
      <c r="S41" s="897"/>
      <c r="T41" s="897"/>
      <c r="U41" s="897"/>
      <c r="V41" s="897"/>
      <c r="W41" s="897"/>
      <c r="X41" s="897"/>
      <c r="Y41" s="568"/>
      <c r="Z41" s="568"/>
      <c r="AA41" s="568"/>
      <c r="AB41" s="568"/>
      <c r="AC41" s="568"/>
    </row>
    <row r="42" spans="2:29" x14ac:dyDescent="0.15">
      <c r="E42" s="568"/>
      <c r="F42" s="568"/>
      <c r="G42" s="568"/>
      <c r="H42" s="568"/>
      <c r="I42" s="568"/>
      <c r="J42" s="568"/>
      <c r="K42" s="568"/>
      <c r="L42" s="568"/>
      <c r="M42" s="568"/>
      <c r="N42" s="568"/>
      <c r="O42" s="568"/>
      <c r="P42" s="568"/>
      <c r="Q42" s="568"/>
      <c r="R42" s="568"/>
      <c r="S42" s="897"/>
      <c r="T42" s="897"/>
      <c r="U42" s="897"/>
      <c r="V42" s="897"/>
      <c r="W42" s="897"/>
      <c r="X42" s="897"/>
      <c r="Y42" s="568"/>
      <c r="Z42" s="568"/>
      <c r="AA42" s="568"/>
      <c r="AB42" s="568"/>
      <c r="AC42" s="568"/>
    </row>
    <row r="43" spans="2:29" x14ac:dyDescent="0.15">
      <c r="E43" s="568"/>
      <c r="F43" s="568"/>
      <c r="G43" s="568"/>
      <c r="H43" s="568"/>
      <c r="I43" s="568"/>
      <c r="J43" s="568"/>
      <c r="K43" s="568"/>
      <c r="L43" s="568"/>
      <c r="M43" s="568"/>
      <c r="N43" s="568"/>
      <c r="O43" s="568"/>
      <c r="P43" s="568"/>
      <c r="Q43" s="568"/>
      <c r="R43" s="568"/>
      <c r="S43" s="897"/>
      <c r="T43" s="897"/>
      <c r="U43" s="897"/>
      <c r="V43" s="897"/>
      <c r="W43" s="897"/>
      <c r="X43" s="897"/>
      <c r="Y43" s="568"/>
      <c r="Z43" s="568"/>
      <c r="AA43" s="568"/>
      <c r="AB43" s="568"/>
      <c r="AC43" s="568"/>
    </row>
    <row r="44" spans="2:29" x14ac:dyDescent="0.15">
      <c r="E44" s="568"/>
      <c r="F44" s="568"/>
      <c r="G44" s="568"/>
      <c r="H44" s="568"/>
      <c r="I44" s="568"/>
      <c r="J44" s="568"/>
      <c r="K44" s="568"/>
      <c r="L44" s="568"/>
      <c r="M44" s="568"/>
      <c r="N44" s="568"/>
      <c r="O44" s="568"/>
      <c r="P44" s="568"/>
      <c r="Q44" s="568"/>
      <c r="R44" s="568"/>
      <c r="S44" s="897"/>
      <c r="T44" s="897"/>
      <c r="U44" s="897"/>
      <c r="V44" s="897"/>
      <c r="W44" s="897"/>
      <c r="X44" s="897"/>
      <c r="Y44" s="568"/>
      <c r="Z44" s="568"/>
      <c r="AA44" s="568"/>
      <c r="AB44" s="568"/>
      <c r="AC44" s="568"/>
    </row>
    <row r="45" spans="2:29" x14ac:dyDescent="0.15">
      <c r="E45" s="568"/>
      <c r="F45" s="568"/>
      <c r="G45" s="568"/>
      <c r="H45" s="568"/>
      <c r="I45" s="568"/>
      <c r="J45" s="568"/>
      <c r="K45" s="568"/>
      <c r="L45" s="568"/>
      <c r="M45" s="568"/>
      <c r="N45" s="568"/>
      <c r="O45" s="568"/>
      <c r="P45" s="568"/>
      <c r="Q45" s="568"/>
      <c r="R45" s="568"/>
      <c r="S45" s="897"/>
      <c r="T45" s="897"/>
      <c r="U45" s="897"/>
      <c r="V45" s="897"/>
      <c r="W45" s="897"/>
      <c r="X45" s="897"/>
      <c r="Y45" s="568"/>
      <c r="Z45" s="568"/>
      <c r="AA45" s="568"/>
      <c r="AB45" s="568"/>
      <c r="AC45" s="568"/>
    </row>
    <row r="46" spans="2:29" x14ac:dyDescent="0.15">
      <c r="E46" s="568"/>
      <c r="F46" s="568"/>
      <c r="G46" s="568"/>
      <c r="H46" s="568"/>
      <c r="I46" s="568"/>
      <c r="J46" s="568"/>
      <c r="K46" s="568"/>
      <c r="L46" s="568"/>
      <c r="M46" s="568"/>
      <c r="N46" s="568"/>
      <c r="O46" s="568"/>
      <c r="P46" s="568"/>
      <c r="Q46" s="568"/>
      <c r="R46" s="568"/>
      <c r="S46" s="897"/>
      <c r="T46" s="897"/>
      <c r="U46" s="897"/>
      <c r="V46" s="897"/>
      <c r="W46" s="897"/>
      <c r="X46" s="897"/>
      <c r="Y46" s="568"/>
      <c r="Z46" s="568"/>
      <c r="AA46" s="568"/>
      <c r="AB46" s="568"/>
      <c r="AC46" s="568"/>
    </row>
    <row r="47" spans="2:29" x14ac:dyDescent="0.15">
      <c r="E47" s="568"/>
      <c r="F47" s="568"/>
      <c r="G47" s="568"/>
      <c r="H47" s="568"/>
      <c r="I47" s="568"/>
      <c r="J47" s="568"/>
      <c r="K47" s="568"/>
      <c r="L47" s="568"/>
      <c r="M47" s="568"/>
      <c r="N47" s="568"/>
      <c r="O47" s="568"/>
      <c r="P47" s="568"/>
      <c r="Q47" s="568"/>
      <c r="R47" s="568"/>
      <c r="S47" s="897"/>
      <c r="T47" s="897"/>
      <c r="U47" s="897"/>
      <c r="V47" s="897"/>
      <c r="W47" s="897"/>
      <c r="X47" s="897"/>
      <c r="Y47" s="568"/>
      <c r="Z47" s="568"/>
      <c r="AA47" s="568"/>
      <c r="AB47" s="568"/>
      <c r="AC47" s="568"/>
    </row>
    <row r="48" spans="2:29" x14ac:dyDescent="0.15">
      <c r="E48" s="568"/>
      <c r="F48" s="568"/>
      <c r="G48" s="568"/>
      <c r="H48" s="568"/>
      <c r="I48" s="568"/>
      <c r="J48" s="568"/>
      <c r="K48" s="568"/>
      <c r="L48" s="568"/>
      <c r="M48" s="568"/>
      <c r="N48" s="568"/>
      <c r="O48" s="568"/>
      <c r="P48" s="568"/>
      <c r="Q48" s="568"/>
      <c r="R48" s="568"/>
      <c r="S48" s="897"/>
      <c r="T48" s="897"/>
      <c r="U48" s="897"/>
      <c r="V48" s="897"/>
      <c r="W48" s="897"/>
      <c r="X48" s="897"/>
      <c r="Y48" s="568"/>
      <c r="Z48" s="568"/>
      <c r="AA48" s="568"/>
      <c r="AB48" s="568"/>
      <c r="AC48" s="568"/>
    </row>
    <row r="49" spans="5:29" x14ac:dyDescent="0.15">
      <c r="E49" s="568"/>
      <c r="F49" s="568"/>
      <c r="G49" s="568"/>
      <c r="H49" s="568"/>
      <c r="I49" s="568"/>
      <c r="J49" s="568"/>
      <c r="K49" s="568"/>
      <c r="L49" s="568"/>
      <c r="M49" s="568"/>
      <c r="N49" s="568"/>
      <c r="O49" s="568"/>
      <c r="P49" s="568"/>
      <c r="Q49" s="568"/>
      <c r="R49" s="568"/>
      <c r="S49" s="897"/>
      <c r="T49" s="897"/>
      <c r="U49" s="897"/>
      <c r="V49" s="897"/>
      <c r="W49" s="897"/>
      <c r="X49" s="897"/>
      <c r="Y49" s="568"/>
      <c r="Z49" s="568"/>
      <c r="AA49" s="568"/>
      <c r="AB49" s="568"/>
      <c r="AC49" s="568"/>
    </row>
    <row r="50" spans="5:29" x14ac:dyDescent="0.15">
      <c r="E50" s="568"/>
      <c r="F50" s="568"/>
      <c r="G50" s="568"/>
      <c r="H50" s="568"/>
      <c r="I50" s="568"/>
      <c r="J50" s="568"/>
      <c r="K50" s="568"/>
      <c r="L50" s="568"/>
      <c r="M50" s="568"/>
      <c r="N50" s="568"/>
      <c r="O50" s="568"/>
      <c r="P50" s="568"/>
      <c r="Q50" s="568"/>
      <c r="R50" s="568"/>
      <c r="S50" s="897"/>
      <c r="T50" s="897"/>
      <c r="U50" s="897"/>
      <c r="V50" s="897"/>
      <c r="W50" s="897"/>
      <c r="X50" s="897"/>
      <c r="Y50" s="568"/>
      <c r="Z50" s="568"/>
      <c r="AA50" s="568"/>
      <c r="AB50" s="568"/>
      <c r="AC50" s="568"/>
    </row>
    <row r="51" spans="5:29" x14ac:dyDescent="0.15">
      <c r="E51" s="568"/>
      <c r="F51" s="568"/>
      <c r="G51" s="568"/>
      <c r="H51" s="568"/>
      <c r="I51" s="568"/>
      <c r="J51" s="568"/>
      <c r="K51" s="568"/>
      <c r="L51" s="568"/>
      <c r="M51" s="568"/>
      <c r="N51" s="568"/>
      <c r="O51" s="568"/>
      <c r="P51" s="568"/>
      <c r="Q51" s="568"/>
      <c r="R51" s="568"/>
      <c r="S51" s="897"/>
      <c r="T51" s="897"/>
      <c r="U51" s="897"/>
      <c r="V51" s="897"/>
      <c r="W51" s="897"/>
      <c r="X51" s="897"/>
      <c r="Y51" s="568"/>
      <c r="Z51" s="568"/>
      <c r="AA51" s="568"/>
      <c r="AB51" s="568"/>
      <c r="AC51" s="568"/>
    </row>
    <row r="52" spans="5:29" x14ac:dyDescent="0.15">
      <c r="E52" s="568"/>
      <c r="F52" s="568"/>
      <c r="G52" s="568"/>
      <c r="H52" s="568"/>
      <c r="I52" s="568"/>
      <c r="J52" s="568"/>
      <c r="K52" s="568"/>
      <c r="L52" s="568"/>
      <c r="M52" s="568"/>
      <c r="N52" s="568"/>
      <c r="O52" s="568"/>
      <c r="P52" s="568"/>
      <c r="Q52" s="568"/>
      <c r="R52" s="568"/>
      <c r="S52" s="897"/>
      <c r="T52" s="897"/>
      <c r="U52" s="897"/>
      <c r="V52" s="897"/>
      <c r="W52" s="897"/>
      <c r="X52" s="897"/>
      <c r="Y52" s="568"/>
      <c r="Z52" s="568"/>
      <c r="AA52" s="568"/>
      <c r="AB52" s="568"/>
      <c r="AC52" s="568"/>
    </row>
    <row r="53" spans="5:29" x14ac:dyDescent="0.15">
      <c r="E53" s="568"/>
      <c r="F53" s="568"/>
      <c r="G53" s="568"/>
      <c r="H53" s="568"/>
      <c r="I53" s="568"/>
      <c r="J53" s="568"/>
      <c r="K53" s="568"/>
      <c r="L53" s="568"/>
      <c r="M53" s="568"/>
      <c r="N53" s="568"/>
      <c r="O53" s="568"/>
      <c r="P53" s="568"/>
      <c r="Q53" s="568"/>
      <c r="R53" s="568"/>
      <c r="S53" s="897"/>
      <c r="T53" s="897"/>
      <c r="U53" s="897"/>
      <c r="V53" s="897"/>
      <c r="W53" s="897"/>
      <c r="X53" s="897"/>
      <c r="Y53" s="568"/>
      <c r="Z53" s="568"/>
      <c r="AA53" s="568"/>
      <c r="AB53" s="568"/>
      <c r="AC53" s="568"/>
    </row>
    <row r="54" spans="5:29" x14ac:dyDescent="0.15">
      <c r="E54" s="568"/>
      <c r="F54" s="568"/>
      <c r="G54" s="568"/>
      <c r="H54" s="568"/>
      <c r="I54" s="568"/>
      <c r="J54" s="568"/>
      <c r="K54" s="568"/>
      <c r="L54" s="568"/>
      <c r="M54" s="568"/>
      <c r="N54" s="568"/>
      <c r="O54" s="568"/>
      <c r="P54" s="568"/>
      <c r="Q54" s="568"/>
      <c r="R54" s="568"/>
      <c r="S54" s="897"/>
      <c r="T54" s="897"/>
      <c r="U54" s="897"/>
      <c r="V54" s="897"/>
      <c r="W54" s="897"/>
      <c r="X54" s="897"/>
      <c r="Y54" s="568"/>
      <c r="Z54" s="568"/>
      <c r="AA54" s="568"/>
      <c r="AB54" s="568"/>
      <c r="AC54" s="568"/>
    </row>
    <row r="55" spans="5:29" x14ac:dyDescent="0.15">
      <c r="E55" s="568"/>
      <c r="F55" s="568"/>
      <c r="G55" s="568"/>
      <c r="H55" s="568"/>
      <c r="I55" s="568"/>
      <c r="J55" s="568"/>
      <c r="K55" s="568"/>
      <c r="L55" s="568"/>
      <c r="M55" s="568"/>
      <c r="N55" s="568"/>
      <c r="O55" s="568"/>
      <c r="P55" s="568"/>
      <c r="Q55" s="568"/>
      <c r="R55" s="568"/>
      <c r="S55" s="897"/>
      <c r="T55" s="897"/>
      <c r="U55" s="897"/>
      <c r="V55" s="897"/>
      <c r="W55" s="897"/>
      <c r="X55" s="897"/>
      <c r="Y55" s="568"/>
      <c r="Z55" s="568"/>
      <c r="AA55" s="568"/>
      <c r="AB55" s="568"/>
      <c r="AC55" s="568"/>
    </row>
    <row r="56" spans="5:29" x14ac:dyDescent="0.15">
      <c r="E56" s="568"/>
      <c r="F56" s="568"/>
      <c r="G56" s="568"/>
      <c r="H56" s="568"/>
      <c r="I56" s="568"/>
      <c r="J56" s="568"/>
      <c r="K56" s="568"/>
      <c r="L56" s="568"/>
      <c r="M56" s="568"/>
      <c r="N56" s="568"/>
      <c r="O56" s="568"/>
      <c r="P56" s="568"/>
      <c r="Q56" s="568"/>
      <c r="R56" s="568"/>
      <c r="S56" s="897"/>
      <c r="T56" s="897"/>
      <c r="U56" s="897"/>
      <c r="V56" s="897"/>
      <c r="W56" s="897"/>
      <c r="X56" s="897"/>
      <c r="Y56" s="568"/>
      <c r="Z56" s="568"/>
      <c r="AA56" s="568"/>
      <c r="AB56" s="568"/>
      <c r="AC56" s="568"/>
    </row>
    <row r="57" spans="5:29" x14ac:dyDescent="0.15">
      <c r="E57" s="568"/>
      <c r="F57" s="568"/>
      <c r="G57" s="568"/>
      <c r="H57" s="568"/>
      <c r="I57" s="568"/>
      <c r="J57" s="568"/>
      <c r="K57" s="568"/>
      <c r="L57" s="568"/>
      <c r="M57" s="568"/>
      <c r="N57" s="568"/>
      <c r="O57" s="568"/>
      <c r="P57" s="568"/>
      <c r="Q57" s="568"/>
      <c r="R57" s="568"/>
      <c r="S57" s="897"/>
      <c r="T57" s="897"/>
      <c r="U57" s="897"/>
      <c r="V57" s="897"/>
      <c r="W57" s="897"/>
      <c r="X57" s="897"/>
      <c r="Y57" s="568"/>
      <c r="Z57" s="568"/>
      <c r="AA57" s="568"/>
      <c r="AB57" s="568"/>
      <c r="AC57" s="568"/>
    </row>
    <row r="58" spans="5:29" x14ac:dyDescent="0.15">
      <c r="E58" s="568"/>
      <c r="F58" s="568"/>
      <c r="G58" s="568"/>
      <c r="H58" s="568"/>
      <c r="I58" s="568"/>
      <c r="J58" s="568"/>
      <c r="K58" s="568"/>
      <c r="L58" s="568"/>
      <c r="M58" s="568"/>
      <c r="N58" s="568"/>
      <c r="O58" s="568"/>
      <c r="P58" s="568"/>
      <c r="Q58" s="568"/>
      <c r="R58" s="568"/>
      <c r="S58" s="897"/>
      <c r="T58" s="897"/>
      <c r="U58" s="897"/>
      <c r="V58" s="897"/>
      <c r="W58" s="897"/>
      <c r="X58" s="897"/>
      <c r="Y58" s="568"/>
      <c r="Z58" s="568"/>
      <c r="AA58" s="568"/>
      <c r="AB58" s="568"/>
      <c r="AC58" s="568"/>
    </row>
    <row r="59" spans="5:29" x14ac:dyDescent="0.15">
      <c r="E59" s="568"/>
      <c r="F59" s="568"/>
      <c r="G59" s="568"/>
      <c r="H59" s="568"/>
      <c r="I59" s="568"/>
      <c r="J59" s="568"/>
      <c r="K59" s="568"/>
      <c r="L59" s="568"/>
      <c r="M59" s="568"/>
      <c r="N59" s="568"/>
      <c r="O59" s="568"/>
      <c r="P59" s="568"/>
      <c r="Q59" s="568"/>
      <c r="R59" s="568"/>
      <c r="S59" s="897"/>
      <c r="T59" s="897"/>
      <c r="U59" s="897"/>
      <c r="V59" s="897"/>
      <c r="W59" s="897"/>
      <c r="X59" s="897"/>
      <c r="Y59" s="568"/>
      <c r="Z59" s="568"/>
      <c r="AA59" s="568"/>
      <c r="AB59" s="568"/>
      <c r="AC59" s="568"/>
    </row>
    <row r="60" spans="5:29" x14ac:dyDescent="0.15">
      <c r="E60" s="568"/>
      <c r="F60" s="568"/>
      <c r="G60" s="568"/>
      <c r="H60" s="568"/>
      <c r="I60" s="568"/>
      <c r="J60" s="568"/>
      <c r="K60" s="568"/>
      <c r="L60" s="568"/>
      <c r="M60" s="568"/>
      <c r="N60" s="568"/>
      <c r="O60" s="568"/>
      <c r="P60" s="568"/>
      <c r="Q60" s="568"/>
      <c r="R60" s="568"/>
      <c r="S60" s="897"/>
      <c r="T60" s="897"/>
      <c r="U60" s="897"/>
      <c r="V60" s="897"/>
      <c r="W60" s="897"/>
      <c r="X60" s="897"/>
      <c r="Y60" s="568"/>
      <c r="Z60" s="568"/>
      <c r="AA60" s="568"/>
      <c r="AB60" s="568"/>
      <c r="AC60" s="568"/>
    </row>
    <row r="61" spans="5:29" x14ac:dyDescent="0.15">
      <c r="E61" s="568"/>
      <c r="F61" s="568"/>
      <c r="G61" s="568"/>
      <c r="H61" s="568"/>
      <c r="I61" s="568"/>
      <c r="J61" s="568"/>
      <c r="K61" s="568"/>
      <c r="L61" s="568"/>
      <c r="M61" s="568"/>
      <c r="N61" s="568"/>
      <c r="O61" s="568"/>
      <c r="P61" s="568"/>
      <c r="Q61" s="568"/>
      <c r="R61" s="568"/>
      <c r="S61" s="897"/>
      <c r="T61" s="897"/>
      <c r="U61" s="897"/>
      <c r="V61" s="897"/>
      <c r="W61" s="897"/>
      <c r="X61" s="897"/>
      <c r="Y61" s="568"/>
      <c r="Z61" s="568"/>
      <c r="AA61" s="568"/>
      <c r="AB61" s="568"/>
      <c r="AC61" s="568"/>
    </row>
    <row r="62" spans="5:29" x14ac:dyDescent="0.15">
      <c r="E62" s="568"/>
      <c r="F62" s="568"/>
      <c r="G62" s="568"/>
      <c r="H62" s="568"/>
      <c r="I62" s="568"/>
      <c r="J62" s="568"/>
      <c r="K62" s="568"/>
      <c r="L62" s="568"/>
      <c r="M62" s="568"/>
      <c r="N62" s="568"/>
      <c r="O62" s="568"/>
      <c r="P62" s="568"/>
      <c r="Q62" s="568"/>
      <c r="R62" s="568"/>
      <c r="S62" s="897"/>
      <c r="T62" s="897"/>
      <c r="U62" s="897"/>
      <c r="V62" s="897"/>
      <c r="W62" s="897"/>
      <c r="X62" s="897"/>
      <c r="Y62" s="568"/>
      <c r="Z62" s="568"/>
      <c r="AA62" s="568"/>
      <c r="AB62" s="568"/>
      <c r="AC62" s="568"/>
    </row>
    <row r="63" spans="5:29" x14ac:dyDescent="0.15">
      <c r="E63" s="568"/>
      <c r="F63" s="568"/>
      <c r="G63" s="568"/>
      <c r="H63" s="568"/>
      <c r="I63" s="568"/>
      <c r="J63" s="568"/>
      <c r="K63" s="568"/>
      <c r="L63" s="568"/>
      <c r="M63" s="568"/>
      <c r="N63" s="568"/>
      <c r="O63" s="568"/>
      <c r="P63" s="568"/>
      <c r="Q63" s="568"/>
      <c r="R63" s="568"/>
      <c r="S63" s="897"/>
      <c r="T63" s="897"/>
      <c r="U63" s="897"/>
      <c r="V63" s="897"/>
      <c r="W63" s="897"/>
      <c r="X63" s="897"/>
      <c r="Y63" s="568"/>
      <c r="Z63" s="568"/>
      <c r="AA63" s="568"/>
      <c r="AB63" s="568"/>
      <c r="AC63" s="568"/>
    </row>
  </sheetData>
  <conditionalFormatting sqref="C8:Z23">
    <cfRule type="cellIs" dxfId="2" priority="3" operator="greaterThan">
      <formula>0</formula>
    </cfRule>
  </conditionalFormatting>
  <printOptions horizontalCentered="1"/>
  <pageMargins left="0.53" right="0.2" top="0.54" bottom="0.76" header="0.28000000000000003" footer="0.25"/>
  <pageSetup paperSize="3" scale="76" orientation="landscape" r:id="rId1"/>
  <headerFooter alignWithMargins="0">
    <oddFooter xml:space="preserve">&amp;L&amp;"Franklin Gothic Book,Regular"&amp;9&amp;A; 
&amp;F
&amp;"Arial,Regular"&amp;10
&amp;R&amp;"Franklin Gothic Book,Regular"&amp;9Prepared By: Lewis Young Robertson &amp; Burningham, Inc.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1:AD32"/>
  <sheetViews>
    <sheetView workbookViewId="0">
      <selection activeCell="C33" sqref="C33"/>
    </sheetView>
  </sheetViews>
  <sheetFormatPr baseColWidth="10" defaultColWidth="8.83203125" defaultRowHeight="13" x14ac:dyDescent="0.15"/>
  <cols>
    <col min="1" max="1" width="6" style="891" customWidth="1"/>
    <col min="2" max="2" width="38.5" style="891" customWidth="1"/>
    <col min="3" max="3" width="13.83203125" style="27" customWidth="1"/>
    <col min="4" max="4" width="16" style="27" customWidth="1"/>
    <col min="5" max="5" width="11" style="27" customWidth="1"/>
    <col min="6" max="6" width="13.83203125" style="27" customWidth="1"/>
    <col min="7" max="7" width="11.33203125" style="27" customWidth="1"/>
    <col min="8" max="8" width="16.33203125" style="27" customWidth="1"/>
    <col min="9" max="22" width="16.33203125" style="891" customWidth="1"/>
    <col min="23" max="23" width="12.83203125" style="891" bestFit="1" customWidth="1"/>
    <col min="24" max="24" width="10.6640625" style="891" bestFit="1" customWidth="1"/>
    <col min="25" max="27" width="8.5" style="891" customWidth="1"/>
    <col min="28" max="28" width="13.33203125" style="891" bestFit="1" customWidth="1"/>
    <col min="29" max="29" width="14" style="891" bestFit="1" customWidth="1"/>
    <col min="30" max="16384" width="8.83203125" style="891"/>
  </cols>
  <sheetData>
    <row r="1" spans="1:29" ht="25" x14ac:dyDescent="0.25">
      <c r="A1" s="1" t="str">
        <f>'A.1 - Summary '!B1</f>
        <v>Millcreek Community Reinvestment Agency</v>
      </c>
      <c r="B1" s="890"/>
      <c r="C1" s="890"/>
      <c r="D1" s="890"/>
      <c r="E1" s="890"/>
      <c r="F1" s="890"/>
      <c r="G1" s="890"/>
      <c r="H1" s="890"/>
      <c r="I1" s="890"/>
      <c r="J1" s="890"/>
      <c r="K1" s="890"/>
      <c r="L1" s="890"/>
      <c r="M1" s="890"/>
      <c r="N1" s="890"/>
      <c r="O1" s="890"/>
      <c r="P1" s="890"/>
      <c r="Q1" s="890"/>
      <c r="R1" s="890"/>
      <c r="S1" s="890"/>
      <c r="T1" s="890"/>
      <c r="U1" s="890"/>
      <c r="V1" s="890"/>
      <c r="W1" s="890"/>
      <c r="X1" s="890"/>
      <c r="Y1" s="890"/>
      <c r="Z1" s="890"/>
      <c r="AA1" s="890"/>
    </row>
    <row r="2" spans="1:29" ht="18" x14ac:dyDescent="0.2">
      <c r="A2" s="3" t="str">
        <f>'A.1 - Summary '!B2</f>
        <v>Millcreek Center CRA</v>
      </c>
      <c r="B2" s="892"/>
      <c r="C2" s="892"/>
      <c r="D2" s="892"/>
      <c r="E2" s="892"/>
      <c r="F2" s="892"/>
      <c r="G2" s="892"/>
      <c r="H2" s="892"/>
      <c r="I2" s="892"/>
      <c r="J2" s="892"/>
      <c r="K2" s="892"/>
      <c r="L2" s="925"/>
      <c r="M2" s="892"/>
      <c r="N2" s="892"/>
      <c r="O2" s="892"/>
      <c r="P2" s="892"/>
      <c r="Q2" s="892"/>
      <c r="R2" s="892"/>
      <c r="S2" s="892"/>
      <c r="T2" s="892"/>
      <c r="U2" s="892"/>
      <c r="V2" s="892"/>
      <c r="W2" s="892"/>
      <c r="X2" s="892"/>
      <c r="Y2" s="892"/>
      <c r="Z2" s="892"/>
      <c r="AA2" s="892"/>
      <c r="AB2" s="892"/>
      <c r="AC2" s="892"/>
    </row>
    <row r="3" spans="1:29" ht="18" x14ac:dyDescent="0.2">
      <c r="A3" s="4" t="s">
        <v>1457</v>
      </c>
      <c r="B3" s="892"/>
      <c r="C3" s="892"/>
      <c r="D3" s="892"/>
      <c r="E3" s="892"/>
      <c r="F3" s="892"/>
      <c r="G3" s="892"/>
      <c r="H3" s="892"/>
      <c r="I3" s="892"/>
      <c r="J3" s="892"/>
      <c r="K3" s="892"/>
      <c r="L3" s="892"/>
      <c r="M3" s="892"/>
      <c r="N3" s="892"/>
      <c r="O3" s="892"/>
      <c r="P3" s="892"/>
      <c r="Q3" s="892"/>
      <c r="R3" s="892"/>
      <c r="S3" s="892"/>
      <c r="T3" s="892"/>
      <c r="U3" s="892"/>
      <c r="V3" s="892"/>
      <c r="W3" s="892"/>
      <c r="X3" s="892"/>
      <c r="Y3" s="892"/>
      <c r="Z3" s="892"/>
      <c r="AA3" s="892"/>
      <c r="AB3" s="892"/>
      <c r="AC3" s="892"/>
    </row>
    <row r="4" spans="1:29" ht="14" x14ac:dyDescent="0.15">
      <c r="A4" s="926"/>
      <c r="H4" s="891"/>
    </row>
    <row r="5" spans="1:29" s="239" customFormat="1" ht="53" x14ac:dyDescent="0.2">
      <c r="A5" s="927"/>
      <c r="B5" s="928" t="s">
        <v>59</v>
      </c>
      <c r="C5" s="929" t="s">
        <v>2120</v>
      </c>
      <c r="D5" s="929" t="s">
        <v>1467</v>
      </c>
      <c r="E5" s="930" t="s">
        <v>1437</v>
      </c>
      <c r="F5" s="930" t="s">
        <v>1438</v>
      </c>
      <c r="G5" s="931" t="s">
        <v>1439</v>
      </c>
    </row>
    <row r="6" spans="1:29" ht="12.75" customHeight="1" x14ac:dyDescent="0.15">
      <c r="A6" s="1325"/>
      <c r="B6" s="443" t="str">
        <f>'Tax Increment Budget'!B18</f>
        <v>Salt Lake County</v>
      </c>
      <c r="C6" s="887">
        <v>98782768971</v>
      </c>
      <c r="D6" s="895">
        <v>42674443</v>
      </c>
      <c r="E6" s="896">
        <f>D6/C6</f>
        <v>4.3200290338619768E-4</v>
      </c>
      <c r="F6" s="932">
        <v>0.15</v>
      </c>
      <c r="G6" s="933">
        <f t="shared" ref="G6:G11" si="0">E6*$V$26*F6</f>
        <v>4.2120283080154271E-5</v>
      </c>
      <c r="H6" s="891"/>
    </row>
    <row r="7" spans="1:29" ht="12.75" customHeight="1" x14ac:dyDescent="0.15">
      <c r="A7" s="1326"/>
      <c r="B7" s="894" t="str">
        <f>'Tax Increment Budget'!B20</f>
        <v>Granite School District</v>
      </c>
      <c r="C7" s="887">
        <v>26929034844</v>
      </c>
      <c r="D7" s="895">
        <v>571159707</v>
      </c>
      <c r="E7" s="896">
        <f t="shared" ref="E7:E11" si="1">D7/C7</f>
        <v>2.1209809794845241E-2</v>
      </c>
      <c r="F7" s="932">
        <v>0.01</v>
      </c>
      <c r="G7" s="933">
        <f t="shared" si="0"/>
        <v>1.3786376366649406E-4</v>
      </c>
      <c r="H7" s="891"/>
    </row>
    <row r="8" spans="1:29" ht="12.75" customHeight="1" x14ac:dyDescent="0.15">
      <c r="A8" s="1326"/>
      <c r="B8" s="894" t="str">
        <f>'Tax Increment Budget'!B22</f>
        <v>South Salt Lake Valley Mosquito Abatement District</v>
      </c>
      <c r="C8" s="887">
        <v>66829316452</v>
      </c>
      <c r="D8" s="895">
        <v>1198539</v>
      </c>
      <c r="E8" s="896">
        <f t="shared" si="1"/>
        <v>1.7934329776675898E-5</v>
      </c>
      <c r="F8" s="932">
        <v>0.05</v>
      </c>
      <c r="G8" s="933">
        <f t="shared" si="0"/>
        <v>5.8286571774196677E-7</v>
      </c>
      <c r="H8" s="891"/>
    </row>
    <row r="9" spans="1:29" ht="12.75" customHeight="1" x14ac:dyDescent="0.15">
      <c r="A9" s="1326"/>
      <c r="B9" s="894" t="str">
        <f>'Tax Increment Budget'!B23</f>
        <v>Mt. Olympus Improvement District</v>
      </c>
      <c r="C9" s="887">
        <v>9911690501</v>
      </c>
      <c r="D9" s="895">
        <v>8435916</v>
      </c>
      <c r="E9" s="896">
        <f t="shared" si="1"/>
        <v>8.5110768936428076E-4</v>
      </c>
      <c r="F9" s="932">
        <v>0.05</v>
      </c>
      <c r="G9" s="933">
        <f t="shared" si="0"/>
        <v>2.7660999904339126E-5</v>
      </c>
      <c r="H9" s="891"/>
    </row>
    <row r="10" spans="1:29" ht="12.75" customHeight="1" x14ac:dyDescent="0.15">
      <c r="A10" s="1326"/>
      <c r="B10" s="894" t="str">
        <f>'Tax Increment Budget'!B24</f>
        <v>Central Utah Water Conservancy District</v>
      </c>
      <c r="C10" s="887">
        <v>98782768971</v>
      </c>
      <c r="D10" s="895">
        <v>52200000</v>
      </c>
      <c r="E10" s="896">
        <f t="shared" si="1"/>
        <v>5.2843224120721437E-4</v>
      </c>
      <c r="F10" s="934">
        <v>0.05</v>
      </c>
      <c r="G10" s="933">
        <f t="shared" si="0"/>
        <v>1.7174047839234468E-5</v>
      </c>
      <c r="H10" s="891"/>
    </row>
    <row r="11" spans="1:29" ht="12.75" customHeight="1" x14ac:dyDescent="0.15">
      <c r="A11" s="1326"/>
      <c r="B11" s="894" t="str">
        <f>'Tax Increment Budget'!B25</f>
        <v>Unified Fire Service Area</v>
      </c>
      <c r="C11" s="887">
        <v>22504187078</v>
      </c>
      <c r="D11" s="895">
        <v>47874049</v>
      </c>
      <c r="E11" s="896">
        <f t="shared" si="1"/>
        <v>2.1273396294683965E-3</v>
      </c>
      <c r="F11" s="932">
        <v>0.05</v>
      </c>
      <c r="G11" s="933">
        <f t="shared" si="0"/>
        <v>6.9138537957722898E-5</v>
      </c>
      <c r="H11" s="891"/>
    </row>
    <row r="12" spans="1:29" ht="12.75" customHeight="1" x14ac:dyDescent="0.15">
      <c r="A12" s="935"/>
      <c r="B12" s="936" t="s">
        <v>13</v>
      </c>
      <c r="C12" s="446"/>
      <c r="D12" s="446">
        <f>SUM(D6:D11)</f>
        <v>723542654</v>
      </c>
      <c r="E12" s="446"/>
      <c r="F12" s="446"/>
      <c r="G12" s="445"/>
      <c r="H12" s="891"/>
    </row>
    <row r="13" spans="1:29" x14ac:dyDescent="0.15">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row>
    <row r="14" spans="1:29" ht="15" thickBot="1" x14ac:dyDescent="0.2">
      <c r="B14" s="937" t="s">
        <v>1440</v>
      </c>
      <c r="C14" s="293" t="e">
        <f>IF(C15&gt;'[3]A.1 - Summary  (Dynamic)'!$G$1,0,1)</f>
        <v>#REF!</v>
      </c>
      <c r="D14" s="293" t="e">
        <f>IF(D15&gt;'[3]A.1 - Summary  (Dynamic)'!$G$1,0,1)</f>
        <v>#REF!</v>
      </c>
      <c r="E14" s="293" t="e">
        <f>IF(E15&gt;'[3]A.1 - Summary  (Dynamic)'!$G$1,0,1)</f>
        <v>#REF!</v>
      </c>
      <c r="F14" s="293" t="e">
        <f>IF(F15&gt;'[3]A.1 - Summary  (Dynamic)'!$G$1,0,1)</f>
        <v>#REF!</v>
      </c>
      <c r="G14" s="293" t="e">
        <f>IF(G15&gt;'[3]A.1 - Summary  (Dynamic)'!$G$1,0,1)</f>
        <v>#REF!</v>
      </c>
      <c r="H14" s="293" t="e">
        <f>IF(H15&gt;'[3]A.1 - Summary  (Dynamic)'!$G$1,0,1)</f>
        <v>#REF!</v>
      </c>
      <c r="I14" s="293" t="e">
        <f>IF(I15&gt;'[3]A.1 - Summary  (Dynamic)'!$G$1,0,1)</f>
        <v>#REF!</v>
      </c>
      <c r="J14" s="293" t="e">
        <f>IF(J15&gt;'[3]A.1 - Summary  (Dynamic)'!$G$1,0,1)</f>
        <v>#REF!</v>
      </c>
      <c r="K14" s="293" t="e">
        <f>IF(K15&gt;'[3]A.1 - Summary  (Dynamic)'!$G$1,0,1)</f>
        <v>#REF!</v>
      </c>
      <c r="L14" s="293" t="e">
        <f>IF(L15&gt;'[3]A.1 - Summary  (Dynamic)'!$G$1,0,1)</f>
        <v>#REF!</v>
      </c>
      <c r="M14" s="293" t="e">
        <f>IF(M15&gt;'[3]A.1 - Summary  (Dynamic)'!$G$1,0,1)</f>
        <v>#REF!</v>
      </c>
      <c r="N14" s="293" t="e">
        <f>IF(N15&gt;'[3]A.1 - Summary  (Dynamic)'!$G$1,0,1)</f>
        <v>#REF!</v>
      </c>
      <c r="O14" s="293" t="e">
        <f>IF(O15&gt;'[3]A.1 - Summary  (Dynamic)'!$G$1,0,1)</f>
        <v>#REF!</v>
      </c>
      <c r="P14" s="293" t="e">
        <f>IF(P15&gt;'[3]A.1 - Summary  (Dynamic)'!$G$1,0,1)</f>
        <v>#REF!</v>
      </c>
      <c r="Q14" s="293" t="e">
        <f>IF(Q15&gt;'[3]A.1 - Summary  (Dynamic)'!$G$1,0,1)</f>
        <v>#REF!</v>
      </c>
      <c r="R14" s="293" t="e">
        <f>IF(R15&gt;'[3]A.1 - Summary  (Dynamic)'!$G$1,0,1)</f>
        <v>#REF!</v>
      </c>
      <c r="S14" s="293" t="e">
        <f>IF(S15&gt;'[3]A.1 - Summary  (Dynamic)'!$G$1,0,1)</f>
        <v>#REF!</v>
      </c>
      <c r="T14" s="293" t="e">
        <f>IF(T15&gt;'[3]A.1 - Summary  (Dynamic)'!$G$1,0,1)</f>
        <v>#REF!</v>
      </c>
      <c r="U14" s="293" t="e">
        <f>IF(U15&gt;'[3]A.1 - Summary  (Dynamic)'!$G$1,0,1)</f>
        <v>#REF!</v>
      </c>
      <c r="V14" s="293" t="e">
        <f>IF(V15&gt;'[3]A.1 - Summary  (Dynamic)'!$G$1,0,1)</f>
        <v>#REF!</v>
      </c>
      <c r="W14" s="240"/>
      <c r="X14" s="240"/>
      <c r="Y14" s="240"/>
      <c r="Z14" s="240"/>
      <c r="AA14" s="240"/>
    </row>
    <row r="15" spans="1:29" s="239" customFormat="1" ht="16" x14ac:dyDescent="0.2">
      <c r="A15" s="938"/>
      <c r="B15" s="437" t="s">
        <v>59</v>
      </c>
      <c r="C15" s="441">
        <v>2020</v>
      </c>
      <c r="D15" s="441">
        <f t="shared" ref="D15:O15" si="2">C15+1</f>
        <v>2021</v>
      </c>
      <c r="E15" s="893">
        <f t="shared" si="2"/>
        <v>2022</v>
      </c>
      <c r="F15" s="893">
        <f t="shared" si="2"/>
        <v>2023</v>
      </c>
      <c r="G15" s="893">
        <f t="shared" si="2"/>
        <v>2024</v>
      </c>
      <c r="H15" s="893">
        <f t="shared" si="2"/>
        <v>2025</v>
      </c>
      <c r="I15" s="893">
        <f t="shared" si="2"/>
        <v>2026</v>
      </c>
      <c r="J15" s="893">
        <f t="shared" si="2"/>
        <v>2027</v>
      </c>
      <c r="K15" s="893">
        <f t="shared" si="2"/>
        <v>2028</v>
      </c>
      <c r="L15" s="893">
        <f t="shared" si="2"/>
        <v>2029</v>
      </c>
      <c r="M15" s="893">
        <f t="shared" si="2"/>
        <v>2030</v>
      </c>
      <c r="N15" s="893">
        <f t="shared" si="2"/>
        <v>2031</v>
      </c>
      <c r="O15" s="893">
        <f t="shared" si="2"/>
        <v>2032</v>
      </c>
      <c r="P15" s="893">
        <f t="shared" ref="P15" si="3">O15+1</f>
        <v>2033</v>
      </c>
      <c r="Q15" s="893">
        <f t="shared" ref="Q15" si="4">P15+1</f>
        <v>2034</v>
      </c>
      <c r="R15" s="893">
        <f t="shared" ref="R15" si="5">Q15+1</f>
        <v>2035</v>
      </c>
      <c r="S15" s="893">
        <f t="shared" ref="S15" si="6">R15+1</f>
        <v>2036</v>
      </c>
      <c r="T15" s="893">
        <f t="shared" ref="T15" si="7">S15+1</f>
        <v>2037</v>
      </c>
      <c r="U15" s="893">
        <f t="shared" ref="U15" si="8">T15+1</f>
        <v>2038</v>
      </c>
      <c r="V15" s="893">
        <f t="shared" ref="V15" si="9">U15+1</f>
        <v>2039</v>
      </c>
      <c r="W15" s="939" t="s">
        <v>13</v>
      </c>
      <c r="X15" s="940" t="e">
        <f>"NPV @ "&amp;'[3]A.3 - Budget'!$C$130*100&amp;"%"</f>
        <v>#REF!</v>
      </c>
    </row>
    <row r="16" spans="1:29" ht="12.75" customHeight="1" x14ac:dyDescent="0.15">
      <c r="A16" s="1327"/>
      <c r="B16" s="443" t="str">
        <f>B6</f>
        <v>Salt Lake County</v>
      </c>
      <c r="C16" s="941" t="e">
        <f>'B.1 - Dev Pro Forma'!E119*($G6*(1+$V$25)^(C$15-$V$24))*C$14</f>
        <v>#REF!</v>
      </c>
      <c r="D16" s="941" t="e">
        <f>'B.1 - Dev Pro Forma'!F119*($G6*(1+$V$25)^(D$15-$V$24))*D$14</f>
        <v>#REF!</v>
      </c>
      <c r="E16" s="941" t="e">
        <f>'B.1 - Dev Pro Forma'!G119*($G6*(1+$V$25)^(E$15-$V$24))*E$14</f>
        <v>#REF!</v>
      </c>
      <c r="F16" s="941" t="e">
        <f>'B.1 - Dev Pro Forma'!H119*($G6*(1+$V$25)^(F$15-$V$24))*F$14</f>
        <v>#REF!</v>
      </c>
      <c r="G16" s="941" t="e">
        <f>'B.1 - Dev Pro Forma'!I119*($G6*(1+$V$25)^(G$15-$V$24))*G$14</f>
        <v>#REF!</v>
      </c>
      <c r="H16" s="941" t="e">
        <f>'B.1 - Dev Pro Forma'!J119*($G6*(1+$V$25)^(H$15-$V$24))*H$14</f>
        <v>#REF!</v>
      </c>
      <c r="I16" s="941" t="e">
        <f>'B.1 - Dev Pro Forma'!K119*($G6*(1+$V$25)^(I$15-$V$24))*I$14</f>
        <v>#REF!</v>
      </c>
      <c r="J16" s="941" t="e">
        <f>'B.1 - Dev Pro Forma'!L119*($G6*(1+$V$25)^(J$15-$V$24))*J$14</f>
        <v>#REF!</v>
      </c>
      <c r="K16" s="941" t="e">
        <f>'B.1 - Dev Pro Forma'!M119*($G6*(1+$V$25)^(K$15-$V$24))*K$14</f>
        <v>#REF!</v>
      </c>
      <c r="L16" s="941" t="e">
        <f>'B.1 - Dev Pro Forma'!N119*($G6*(1+$V$25)^(L$15-$V$24))*L$14</f>
        <v>#REF!</v>
      </c>
      <c r="M16" s="941" t="e">
        <f>'B.1 - Dev Pro Forma'!O119*($G6*(1+$V$25)^(M$15-$V$24))*M$14</f>
        <v>#REF!</v>
      </c>
      <c r="N16" s="941" t="e">
        <f>'B.1 - Dev Pro Forma'!P119*($G6*(1+$V$25)^(N$15-$V$24))*N$14</f>
        <v>#REF!</v>
      </c>
      <c r="O16" s="941" t="e">
        <f>'B.1 - Dev Pro Forma'!Q119*($G6*(1+$V$25)^(O$15-$V$24))*O$14</f>
        <v>#REF!</v>
      </c>
      <c r="P16" s="941" t="e">
        <f>'B.1 - Dev Pro Forma'!R119*($G6*(1+$V$25)^(P$15-$V$24))*P$14</f>
        <v>#REF!</v>
      </c>
      <c r="Q16" s="941" t="e">
        <f>'B.1 - Dev Pro Forma'!S119*($G6*(1+$V$25)^(Q$15-$V$24))*Q$14</f>
        <v>#REF!</v>
      </c>
      <c r="R16" s="941" t="e">
        <f>'B.1 - Dev Pro Forma'!T119*($G6*(1+$V$25)^(R$15-$V$24))*R$14</f>
        <v>#REF!</v>
      </c>
      <c r="S16" s="941" t="e">
        <f>'B.1 - Dev Pro Forma'!U119*($G6*(1+$V$25)^(S$15-$V$24))*S$14</f>
        <v>#REF!</v>
      </c>
      <c r="T16" s="941" t="e">
        <f>'B.1 - Dev Pro Forma'!V119*($G6*(1+$V$25)^(T$15-$V$24))*T$14</f>
        <v>#REF!</v>
      </c>
      <c r="U16" s="941" t="e">
        <f>'B.1 - Dev Pro Forma'!W119*($G6*(1+$V$25)^(U$15-$V$24))*U$14</f>
        <v>#REF!</v>
      </c>
      <c r="V16" s="941" t="e">
        <f>'B.1 - Dev Pro Forma'!X119*($G6*(1+$V$25)^(V$15-$V$24))*V$14</f>
        <v>#REF!</v>
      </c>
      <c r="W16" s="942" t="e">
        <f t="shared" ref="W16:W22" si="10">SUM(C16:V16)</f>
        <v>#REF!</v>
      </c>
      <c r="X16" s="943" t="e">
        <f t="shared" ref="X16:X21" si="11">NPV($V$27,C16:V16)</f>
        <v>#REF!</v>
      </c>
    </row>
    <row r="17" spans="1:30" ht="12.75" customHeight="1" x14ac:dyDescent="0.15">
      <c r="A17" s="1328"/>
      <c r="B17" s="894" t="str">
        <f>B7</f>
        <v>Granite School District</v>
      </c>
      <c r="C17" s="444" t="e">
        <f>'B.1 - Dev Pro Forma'!E119*($G7*(1+$V$25)^(C$15-$V$24))*C$14</f>
        <v>#REF!</v>
      </c>
      <c r="D17" s="444" t="e">
        <f>'B.1 - Dev Pro Forma'!F119*($G7*(1+$V$25)^(D$15-$V$24))*D$14</f>
        <v>#REF!</v>
      </c>
      <c r="E17" s="444" t="e">
        <f>'B.1 - Dev Pro Forma'!G119*($G7*(1+$V$25)^(E$15-$V$24))*E$14</f>
        <v>#REF!</v>
      </c>
      <c r="F17" s="444" t="e">
        <f>'B.1 - Dev Pro Forma'!H119*($G7*(1+$V$25)^(F$15-$V$24))*F$14</f>
        <v>#REF!</v>
      </c>
      <c r="G17" s="444" t="e">
        <f>'B.1 - Dev Pro Forma'!I119*($G7*(1+$V$25)^(G$15-$V$24))*G$14</f>
        <v>#REF!</v>
      </c>
      <c r="H17" s="444" t="e">
        <f>'B.1 - Dev Pro Forma'!J119*($G7*(1+$V$25)^(H$15-$V$24))*H$14</f>
        <v>#REF!</v>
      </c>
      <c r="I17" s="444" t="e">
        <f>'B.1 - Dev Pro Forma'!K119*($G7*(1+$V$25)^(I$15-$V$24))*I$14</f>
        <v>#REF!</v>
      </c>
      <c r="J17" s="444" t="e">
        <f>'B.1 - Dev Pro Forma'!L119*($G7*(1+$V$25)^(J$15-$V$24))*J$14</f>
        <v>#REF!</v>
      </c>
      <c r="K17" s="444" t="e">
        <f>'B.1 - Dev Pro Forma'!M119*($G7*(1+$V$25)^(K$15-$V$24))*K$14</f>
        <v>#REF!</v>
      </c>
      <c r="L17" s="444" t="e">
        <f>'B.1 - Dev Pro Forma'!N119*($G7*(1+$V$25)^(L$15-$V$24))*L$14</f>
        <v>#REF!</v>
      </c>
      <c r="M17" s="444" t="e">
        <f>'B.1 - Dev Pro Forma'!O119*($G7*(1+$V$25)^(M$15-$V$24))*M$14</f>
        <v>#REF!</v>
      </c>
      <c r="N17" s="444" t="e">
        <f>'B.1 - Dev Pro Forma'!P119*($G7*(1+$V$25)^(N$15-$V$24))*N$14</f>
        <v>#REF!</v>
      </c>
      <c r="O17" s="444" t="e">
        <f>'B.1 - Dev Pro Forma'!Q119*($G7*(1+$V$25)^(O$15-$V$24))*O$14</f>
        <v>#REF!</v>
      </c>
      <c r="P17" s="444" t="e">
        <f>'B.1 - Dev Pro Forma'!R119*($G7*(1+$V$25)^(P$15-$V$24))*P$14</f>
        <v>#REF!</v>
      </c>
      <c r="Q17" s="444" t="e">
        <f>'B.1 - Dev Pro Forma'!S119*($G7*(1+$V$25)^(Q$15-$V$24))*Q$14</f>
        <v>#REF!</v>
      </c>
      <c r="R17" s="444" t="e">
        <f>'B.1 - Dev Pro Forma'!T119*($G7*(1+$V$25)^(R$15-$V$24))*R$14</f>
        <v>#REF!</v>
      </c>
      <c r="S17" s="444" t="e">
        <f>'B.1 - Dev Pro Forma'!U119*($G7*(1+$V$25)^(S$15-$V$24))*S$14</f>
        <v>#REF!</v>
      </c>
      <c r="T17" s="444" t="e">
        <f>'B.1 - Dev Pro Forma'!V119*($G7*(1+$V$25)^(T$15-$V$24))*T$14</f>
        <v>#REF!</v>
      </c>
      <c r="U17" s="444" t="e">
        <f>'B.1 - Dev Pro Forma'!W119*($G7*(1+$V$25)^(U$15-$V$24))*U$14</f>
        <v>#REF!</v>
      </c>
      <c r="V17" s="444" t="e">
        <f>'B.1 - Dev Pro Forma'!X119*($G7*(1+$V$25)^(V$15-$V$24))*V$14</f>
        <v>#REF!</v>
      </c>
      <c r="W17" s="944" t="e">
        <f t="shared" si="10"/>
        <v>#REF!</v>
      </c>
      <c r="X17" s="945" t="e">
        <f t="shared" si="11"/>
        <v>#REF!</v>
      </c>
    </row>
    <row r="18" spans="1:30" ht="12.75" customHeight="1" x14ac:dyDescent="0.15">
      <c r="A18" s="1328"/>
      <c r="B18" s="894" t="str">
        <f>B8</f>
        <v>South Salt Lake Valley Mosquito Abatement District</v>
      </c>
      <c r="C18" s="444" t="e">
        <f>'B.1 - Dev Pro Forma'!E119*($G8*(1+$V$25)^(C$15-$V$24))*C$14</f>
        <v>#REF!</v>
      </c>
      <c r="D18" s="444" t="e">
        <f>'B.1 - Dev Pro Forma'!F119*($G8*(1+$V$25)^(D$15-$V$24))*D$14</f>
        <v>#REF!</v>
      </c>
      <c r="E18" s="444" t="e">
        <f>'B.1 - Dev Pro Forma'!G119*($G8*(1+$V$25)^(E$15-$V$24))*E$14</f>
        <v>#REF!</v>
      </c>
      <c r="F18" s="444" t="e">
        <f>'B.1 - Dev Pro Forma'!H119*($G8*(1+$V$25)^(F$15-$V$24))*F$14</f>
        <v>#REF!</v>
      </c>
      <c r="G18" s="444" t="e">
        <f>'B.1 - Dev Pro Forma'!I119*($G8*(1+$V$25)^(G$15-$V$24))*G$14</f>
        <v>#REF!</v>
      </c>
      <c r="H18" s="444" t="e">
        <f>'B.1 - Dev Pro Forma'!J119*($G8*(1+$V$25)^(H$15-$V$24))*H$14</f>
        <v>#REF!</v>
      </c>
      <c r="I18" s="444" t="e">
        <f>'B.1 - Dev Pro Forma'!K119*($G8*(1+$V$25)^(I$15-$V$24))*I$14</f>
        <v>#REF!</v>
      </c>
      <c r="J18" s="444" t="e">
        <f>'B.1 - Dev Pro Forma'!L119*($G8*(1+$V$25)^(J$15-$V$24))*J$14</f>
        <v>#REF!</v>
      </c>
      <c r="K18" s="444" t="e">
        <f>'B.1 - Dev Pro Forma'!M119*($G8*(1+$V$25)^(K$15-$V$24))*K$14</f>
        <v>#REF!</v>
      </c>
      <c r="L18" s="444" t="e">
        <f>'B.1 - Dev Pro Forma'!N119*($G8*(1+$V$25)^(L$15-$V$24))*L$14</f>
        <v>#REF!</v>
      </c>
      <c r="M18" s="444" t="e">
        <f>'B.1 - Dev Pro Forma'!O119*($G8*(1+$V$25)^(M$15-$V$24))*M$14</f>
        <v>#REF!</v>
      </c>
      <c r="N18" s="444" t="e">
        <f>'B.1 - Dev Pro Forma'!P119*($G8*(1+$V$25)^(N$15-$V$24))*N$14</f>
        <v>#REF!</v>
      </c>
      <c r="O18" s="444" t="e">
        <f>'B.1 - Dev Pro Forma'!Q119*($G8*(1+$V$25)^(O$15-$V$24))*O$14</f>
        <v>#REF!</v>
      </c>
      <c r="P18" s="444" t="e">
        <f>'B.1 - Dev Pro Forma'!R119*($G8*(1+$V$25)^(P$15-$V$24))*P$14</f>
        <v>#REF!</v>
      </c>
      <c r="Q18" s="444" t="e">
        <f>'B.1 - Dev Pro Forma'!S119*($G8*(1+$V$25)^(Q$15-$V$24))*Q$14</f>
        <v>#REF!</v>
      </c>
      <c r="R18" s="444" t="e">
        <f>'B.1 - Dev Pro Forma'!T119*($G8*(1+$V$25)^(R$15-$V$24))*R$14</f>
        <v>#REF!</v>
      </c>
      <c r="S18" s="444" t="e">
        <f>'B.1 - Dev Pro Forma'!U119*($G8*(1+$V$25)^(S$15-$V$24))*S$14</f>
        <v>#REF!</v>
      </c>
      <c r="T18" s="444" t="e">
        <f>'B.1 - Dev Pro Forma'!V119*($G8*(1+$V$25)^(T$15-$V$24))*T$14</f>
        <v>#REF!</v>
      </c>
      <c r="U18" s="444" t="e">
        <f>'B.1 - Dev Pro Forma'!W119*($G8*(1+$V$25)^(U$15-$V$24))*U$14</f>
        <v>#REF!</v>
      </c>
      <c r="V18" s="444" t="e">
        <f>'B.1 - Dev Pro Forma'!X119*($G8*(1+$V$25)^(V$15-$V$24))*V$14</f>
        <v>#REF!</v>
      </c>
      <c r="W18" s="944" t="e">
        <f t="shared" si="10"/>
        <v>#REF!</v>
      </c>
      <c r="X18" s="945" t="e">
        <f t="shared" si="11"/>
        <v>#REF!</v>
      </c>
    </row>
    <row r="19" spans="1:30" ht="12.75" customHeight="1" x14ac:dyDescent="0.15">
      <c r="A19" s="1328"/>
      <c r="B19" s="894" t="str">
        <f>B9</f>
        <v>Mt. Olympus Improvement District</v>
      </c>
      <c r="C19" s="444" t="e">
        <f>'B.1 - Dev Pro Forma'!E119*($G9*(1+$V$25)^(C$15-$V$24))*C$14</f>
        <v>#REF!</v>
      </c>
      <c r="D19" s="444" t="e">
        <f>'B.1 - Dev Pro Forma'!F119*($G9*(1+$V$25)^(D$15-$V$24))*D$14</f>
        <v>#REF!</v>
      </c>
      <c r="E19" s="444" t="e">
        <f>'B.1 - Dev Pro Forma'!G119*($G9*(1+$V$25)^(E$15-$V$24))*E$14</f>
        <v>#REF!</v>
      </c>
      <c r="F19" s="444" t="e">
        <f>'B.1 - Dev Pro Forma'!H119*($G9*(1+$V$25)^(F$15-$V$24))*F$14</f>
        <v>#REF!</v>
      </c>
      <c r="G19" s="444" t="e">
        <f>'B.1 - Dev Pro Forma'!I119*($G9*(1+$V$25)^(G$15-$V$24))*G$14</f>
        <v>#REF!</v>
      </c>
      <c r="H19" s="444" t="e">
        <f>'B.1 - Dev Pro Forma'!J119*($G9*(1+$V$25)^(H$15-$V$24))*H$14</f>
        <v>#REF!</v>
      </c>
      <c r="I19" s="444" t="e">
        <f>'B.1 - Dev Pro Forma'!K119*($G9*(1+$V$25)^(I$15-$V$24))*I$14</f>
        <v>#REF!</v>
      </c>
      <c r="J19" s="444" t="e">
        <f>'B.1 - Dev Pro Forma'!L119*($G9*(1+$V$25)^(J$15-$V$24))*J$14</f>
        <v>#REF!</v>
      </c>
      <c r="K19" s="444" t="e">
        <f>'B.1 - Dev Pro Forma'!M119*($G9*(1+$V$25)^(K$15-$V$24))*K$14</f>
        <v>#REF!</v>
      </c>
      <c r="L19" s="444" t="e">
        <f>'B.1 - Dev Pro Forma'!N119*($G9*(1+$V$25)^(L$15-$V$24))*L$14</f>
        <v>#REF!</v>
      </c>
      <c r="M19" s="444" t="e">
        <f>'B.1 - Dev Pro Forma'!O119*($G9*(1+$V$25)^(M$15-$V$24))*M$14</f>
        <v>#REF!</v>
      </c>
      <c r="N19" s="444" t="e">
        <f>'B.1 - Dev Pro Forma'!P119*($G9*(1+$V$25)^(N$15-$V$24))*N$14</f>
        <v>#REF!</v>
      </c>
      <c r="O19" s="444" t="e">
        <f>'B.1 - Dev Pro Forma'!Q119*($G9*(1+$V$25)^(O$15-$V$24))*O$14</f>
        <v>#REF!</v>
      </c>
      <c r="P19" s="444" t="e">
        <f>'B.1 - Dev Pro Forma'!R119*($G9*(1+$V$25)^(P$15-$V$24))*P$14</f>
        <v>#REF!</v>
      </c>
      <c r="Q19" s="444" t="e">
        <f>'B.1 - Dev Pro Forma'!S119*($G9*(1+$V$25)^(Q$15-$V$24))*Q$14</f>
        <v>#REF!</v>
      </c>
      <c r="R19" s="444" t="e">
        <f>'B.1 - Dev Pro Forma'!T119*($G9*(1+$V$25)^(R$15-$V$24))*R$14</f>
        <v>#REF!</v>
      </c>
      <c r="S19" s="444" t="e">
        <f>'B.1 - Dev Pro Forma'!U119*($G9*(1+$V$25)^(S$15-$V$24))*S$14</f>
        <v>#REF!</v>
      </c>
      <c r="T19" s="444" t="e">
        <f>'B.1 - Dev Pro Forma'!V119*($G9*(1+$V$25)^(T$15-$V$24))*T$14</f>
        <v>#REF!</v>
      </c>
      <c r="U19" s="444" t="e">
        <f>'B.1 - Dev Pro Forma'!W119*($G9*(1+$V$25)^(U$15-$V$24))*U$14</f>
        <v>#REF!</v>
      </c>
      <c r="V19" s="444" t="e">
        <f>'B.1 - Dev Pro Forma'!X119*($G9*(1+$V$25)^(V$15-$V$24))*V$14</f>
        <v>#REF!</v>
      </c>
      <c r="W19" s="944" t="e">
        <f t="shared" si="10"/>
        <v>#REF!</v>
      </c>
      <c r="X19" s="945" t="e">
        <f t="shared" si="11"/>
        <v>#REF!</v>
      </c>
    </row>
    <row r="20" spans="1:30" ht="12.75" customHeight="1" x14ac:dyDescent="0.15">
      <c r="A20" s="1328"/>
      <c r="B20" s="894" t="str">
        <f>B10</f>
        <v>Central Utah Water Conservancy District</v>
      </c>
      <c r="C20" s="444" t="e">
        <f>'B.1 - Dev Pro Forma'!E119*($G10*(1+$V$25)^(C$15-$V$24))*C$14</f>
        <v>#REF!</v>
      </c>
      <c r="D20" s="444" t="e">
        <f>'B.1 - Dev Pro Forma'!F119*($G10*(1+$V$25)^(D$15-$V$24))*D$14</f>
        <v>#REF!</v>
      </c>
      <c r="E20" s="444" t="e">
        <f>'B.1 - Dev Pro Forma'!G119*($G10*(1+$V$25)^(E$15-$V$24))*E$14</f>
        <v>#REF!</v>
      </c>
      <c r="F20" s="444" t="e">
        <f>'B.1 - Dev Pro Forma'!H119*($G10*(1+$V$25)^(F$15-$V$24))*F$14</f>
        <v>#REF!</v>
      </c>
      <c r="G20" s="444" t="e">
        <f>'B.1 - Dev Pro Forma'!I119*($G10*(1+$V$25)^(G$15-$V$24))*G$14</f>
        <v>#REF!</v>
      </c>
      <c r="H20" s="444" t="e">
        <f>'B.1 - Dev Pro Forma'!J119*($G10*(1+$V$25)^(H$15-$V$24))*H$14</f>
        <v>#REF!</v>
      </c>
      <c r="I20" s="444" t="e">
        <f>'B.1 - Dev Pro Forma'!K119*($G10*(1+$V$25)^(I$15-$V$24))*I$14</f>
        <v>#REF!</v>
      </c>
      <c r="J20" s="444" t="e">
        <f>'B.1 - Dev Pro Forma'!L119*($G10*(1+$V$25)^(J$15-$V$24))*J$14</f>
        <v>#REF!</v>
      </c>
      <c r="K20" s="444" t="e">
        <f>'B.1 - Dev Pro Forma'!M119*($G10*(1+$V$25)^(K$15-$V$24))*K$14</f>
        <v>#REF!</v>
      </c>
      <c r="L20" s="444" t="e">
        <f>'B.1 - Dev Pro Forma'!N119*($G10*(1+$V$25)^(L$15-$V$24))*L$14</f>
        <v>#REF!</v>
      </c>
      <c r="M20" s="444" t="e">
        <f>'B.1 - Dev Pro Forma'!O119*($G10*(1+$V$25)^(M$15-$V$24))*M$14</f>
        <v>#REF!</v>
      </c>
      <c r="N20" s="444" t="e">
        <f>'B.1 - Dev Pro Forma'!P119*($G10*(1+$V$25)^(N$15-$V$24))*N$14</f>
        <v>#REF!</v>
      </c>
      <c r="O20" s="444" t="e">
        <f>'B.1 - Dev Pro Forma'!Q119*($G10*(1+$V$25)^(O$15-$V$24))*O$14</f>
        <v>#REF!</v>
      </c>
      <c r="P20" s="444" t="e">
        <f>'B.1 - Dev Pro Forma'!R119*($G10*(1+$V$25)^(P$15-$V$24))*P$14</f>
        <v>#REF!</v>
      </c>
      <c r="Q20" s="444" t="e">
        <f>'B.1 - Dev Pro Forma'!S119*($G10*(1+$V$25)^(Q$15-$V$24))*Q$14</f>
        <v>#REF!</v>
      </c>
      <c r="R20" s="444" t="e">
        <f>'B.1 - Dev Pro Forma'!T119*($G10*(1+$V$25)^(R$15-$V$24))*R$14</f>
        <v>#REF!</v>
      </c>
      <c r="S20" s="444" t="e">
        <f>'B.1 - Dev Pro Forma'!U119*($G10*(1+$V$25)^(S$15-$V$24))*S$14</f>
        <v>#REF!</v>
      </c>
      <c r="T20" s="444" t="e">
        <f>'B.1 - Dev Pro Forma'!V119*($G10*(1+$V$25)^(T$15-$V$24))*T$14</f>
        <v>#REF!</v>
      </c>
      <c r="U20" s="444" t="e">
        <f>'B.1 - Dev Pro Forma'!W119*($G10*(1+$V$25)^(U$15-$V$24))*U$14</f>
        <v>#REF!</v>
      </c>
      <c r="V20" s="444" t="e">
        <f>'B.1 - Dev Pro Forma'!X119*($G10*(1+$V$25)^(V$15-$V$24))*V$14</f>
        <v>#REF!</v>
      </c>
      <c r="W20" s="944" t="e">
        <f t="shared" si="10"/>
        <v>#REF!</v>
      </c>
      <c r="X20" s="945" t="e">
        <f t="shared" si="11"/>
        <v>#REF!</v>
      </c>
    </row>
    <row r="21" spans="1:30" ht="12.75" customHeight="1" x14ac:dyDescent="0.15">
      <c r="A21" s="1328"/>
      <c r="B21" s="894" t="str">
        <f t="shared" ref="B21" si="12">B11</f>
        <v>Unified Fire Service Area</v>
      </c>
      <c r="C21" s="444" t="e">
        <f>'B.1 - Dev Pro Forma'!E119*($G11*(1+$V$25)^(C$15-$V$24))*C$14</f>
        <v>#REF!</v>
      </c>
      <c r="D21" s="444" t="e">
        <f>'B.1 - Dev Pro Forma'!F119*($G11*(1+$V$25)^(D$15-$V$24))*D$14</f>
        <v>#REF!</v>
      </c>
      <c r="E21" s="444" t="e">
        <f>'B.1 - Dev Pro Forma'!G119*($G11*(1+$V$25)^(E$15-$V$24))*E$14</f>
        <v>#REF!</v>
      </c>
      <c r="F21" s="444" t="e">
        <f>'B.1 - Dev Pro Forma'!H119*($G11*(1+$V$25)^(F$15-$V$24))*F$14</f>
        <v>#REF!</v>
      </c>
      <c r="G21" s="444" t="e">
        <f>'B.1 - Dev Pro Forma'!I119*($G11*(1+$V$25)^(G$15-$V$24))*G$14</f>
        <v>#REF!</v>
      </c>
      <c r="H21" s="444" t="e">
        <f>'B.1 - Dev Pro Forma'!J119*($G11*(1+$V$25)^(H$15-$V$24))*H$14</f>
        <v>#REF!</v>
      </c>
      <c r="I21" s="444" t="e">
        <f>'B.1 - Dev Pro Forma'!K119*($G11*(1+$V$25)^(I$15-$V$24))*I$14</f>
        <v>#REF!</v>
      </c>
      <c r="J21" s="444" t="e">
        <f>'B.1 - Dev Pro Forma'!L119*($G11*(1+$V$25)^(J$15-$V$24))*J$14</f>
        <v>#REF!</v>
      </c>
      <c r="K21" s="444" t="e">
        <f>'B.1 - Dev Pro Forma'!M119*($G11*(1+$V$25)^(K$15-$V$24))*K$14</f>
        <v>#REF!</v>
      </c>
      <c r="L21" s="444" t="e">
        <f>'B.1 - Dev Pro Forma'!N119*($G11*(1+$V$25)^(L$15-$V$24))*L$14</f>
        <v>#REF!</v>
      </c>
      <c r="M21" s="444" t="e">
        <f>'B.1 - Dev Pro Forma'!O119*($G11*(1+$V$25)^(M$15-$V$24))*M$14</f>
        <v>#REF!</v>
      </c>
      <c r="N21" s="444" t="e">
        <f>'B.1 - Dev Pro Forma'!P119*($G11*(1+$V$25)^(N$15-$V$24))*N$14</f>
        <v>#REF!</v>
      </c>
      <c r="O21" s="444" t="e">
        <f>'B.1 - Dev Pro Forma'!Q119*($G11*(1+$V$25)^(O$15-$V$24))*O$14</f>
        <v>#REF!</v>
      </c>
      <c r="P21" s="444" t="e">
        <f>'B.1 - Dev Pro Forma'!R119*($G11*(1+$V$25)^(P$15-$V$24))*P$14</f>
        <v>#REF!</v>
      </c>
      <c r="Q21" s="444" t="e">
        <f>'B.1 - Dev Pro Forma'!S119*($G11*(1+$V$25)^(Q$15-$V$24))*Q$14</f>
        <v>#REF!</v>
      </c>
      <c r="R21" s="444" t="e">
        <f>'B.1 - Dev Pro Forma'!T119*($G11*(1+$V$25)^(R$15-$V$24))*R$14</f>
        <v>#REF!</v>
      </c>
      <c r="S21" s="444" t="e">
        <f>'B.1 - Dev Pro Forma'!U119*($G11*(1+$V$25)^(S$15-$V$24))*S$14</f>
        <v>#REF!</v>
      </c>
      <c r="T21" s="444" t="e">
        <f>'B.1 - Dev Pro Forma'!V119*($G11*(1+$V$25)^(T$15-$V$24))*T$14</f>
        <v>#REF!</v>
      </c>
      <c r="U21" s="444" t="e">
        <f>'B.1 - Dev Pro Forma'!W119*($G11*(1+$V$25)^(U$15-$V$24))*U$14</f>
        <v>#REF!</v>
      </c>
      <c r="V21" s="444" t="e">
        <f>'B.1 - Dev Pro Forma'!X119*($G11*(1+$V$25)^(V$15-$V$24))*V$14</f>
        <v>#REF!</v>
      </c>
      <c r="W21" s="944" t="e">
        <f t="shared" si="10"/>
        <v>#REF!</v>
      </c>
      <c r="X21" s="945" t="e">
        <f t="shared" si="11"/>
        <v>#REF!</v>
      </c>
    </row>
    <row r="22" spans="1:30" ht="14" thickBot="1" x14ac:dyDescent="0.2">
      <c r="A22" s="1328"/>
      <c r="B22" s="936" t="s">
        <v>13</v>
      </c>
      <c r="C22" s="946" t="e">
        <f t="shared" ref="C22:O22" si="13">SUM(C16:C21)</f>
        <v>#REF!</v>
      </c>
      <c r="D22" s="946" t="e">
        <f t="shared" si="13"/>
        <v>#REF!</v>
      </c>
      <c r="E22" s="946" t="e">
        <f t="shared" si="13"/>
        <v>#REF!</v>
      </c>
      <c r="F22" s="946" t="e">
        <f t="shared" si="13"/>
        <v>#REF!</v>
      </c>
      <c r="G22" s="946" t="e">
        <f t="shared" si="13"/>
        <v>#REF!</v>
      </c>
      <c r="H22" s="946" t="e">
        <f t="shared" si="13"/>
        <v>#REF!</v>
      </c>
      <c r="I22" s="946" t="e">
        <f t="shared" si="13"/>
        <v>#REF!</v>
      </c>
      <c r="J22" s="946" t="e">
        <f t="shared" si="13"/>
        <v>#REF!</v>
      </c>
      <c r="K22" s="946" t="e">
        <f t="shared" si="13"/>
        <v>#REF!</v>
      </c>
      <c r="L22" s="946" t="e">
        <f t="shared" si="13"/>
        <v>#REF!</v>
      </c>
      <c r="M22" s="946" t="e">
        <f t="shared" si="13"/>
        <v>#REF!</v>
      </c>
      <c r="N22" s="946" t="e">
        <f t="shared" si="13"/>
        <v>#REF!</v>
      </c>
      <c r="O22" s="946" t="e">
        <f t="shared" si="13"/>
        <v>#REF!</v>
      </c>
      <c r="P22" s="946" t="e">
        <f t="shared" ref="P22:V22" si="14">SUM(P16:P21)</f>
        <v>#REF!</v>
      </c>
      <c r="Q22" s="946" t="e">
        <f t="shared" si="14"/>
        <v>#REF!</v>
      </c>
      <c r="R22" s="946" t="e">
        <f t="shared" si="14"/>
        <v>#REF!</v>
      </c>
      <c r="S22" s="946" t="e">
        <f t="shared" si="14"/>
        <v>#REF!</v>
      </c>
      <c r="T22" s="946" t="e">
        <f t="shared" si="14"/>
        <v>#REF!</v>
      </c>
      <c r="U22" s="946" t="e">
        <f t="shared" si="14"/>
        <v>#REF!</v>
      </c>
      <c r="V22" s="946" t="e">
        <f t="shared" si="14"/>
        <v>#REF!</v>
      </c>
      <c r="W22" s="947" t="e">
        <f t="shared" si="10"/>
        <v>#REF!</v>
      </c>
      <c r="X22" s="948" t="e">
        <f>SUM(X16:X21)</f>
        <v>#REF!</v>
      </c>
    </row>
    <row r="23" spans="1:30" ht="12.75" customHeight="1" x14ac:dyDescent="0.15">
      <c r="A23" s="949"/>
      <c r="C23" s="891"/>
      <c r="D23" s="891"/>
      <c r="E23" s="891"/>
      <c r="F23" s="891"/>
      <c r="G23" s="891"/>
      <c r="H23" s="891"/>
      <c r="I23" s="27"/>
      <c r="W23" s="964">
        <f>'F.1 - City Expenditures'!Y10</f>
        <v>872388.66797792038</v>
      </c>
    </row>
    <row r="24" spans="1:30" ht="15" thickBot="1" x14ac:dyDescent="0.2">
      <c r="B24" s="447"/>
      <c r="C24" s="447"/>
      <c r="D24" s="447"/>
      <c r="E24" s="447"/>
      <c r="F24" s="447"/>
      <c r="G24" s="447"/>
      <c r="H24" s="447"/>
      <c r="I24" s="887"/>
      <c r="J24" s="447"/>
      <c r="L24" s="1329"/>
      <c r="M24" s="1329"/>
      <c r="N24" s="1329"/>
      <c r="O24" s="1284"/>
      <c r="P24" s="1284"/>
      <c r="Q24" s="1284"/>
      <c r="R24" s="1284"/>
      <c r="S24" s="1317" t="s">
        <v>63</v>
      </c>
      <c r="T24" s="1318"/>
      <c r="U24" s="1318"/>
      <c r="V24" s="448">
        <v>2018</v>
      </c>
      <c r="W24" s="27" t="e">
        <f>W22+W23</f>
        <v>#REF!</v>
      </c>
    </row>
    <row r="25" spans="1:30" ht="19" thickBot="1" x14ac:dyDescent="0.25">
      <c r="B25" s="243" t="s">
        <v>1468</v>
      </c>
      <c r="C25" s="244"/>
      <c r="D25" s="924" t="e">
        <f>W22</f>
        <v>#REF!</v>
      </c>
      <c r="E25" s="950"/>
      <c r="F25" s="950"/>
      <c r="G25" s="950"/>
      <c r="H25" s="950"/>
      <c r="I25" s="889"/>
      <c r="L25" s="452"/>
      <c r="M25" s="452"/>
      <c r="N25" s="452"/>
      <c r="O25" s="452"/>
      <c r="P25" s="452"/>
      <c r="Q25" s="452"/>
      <c r="R25" s="452"/>
      <c r="S25" s="951" t="s">
        <v>74</v>
      </c>
      <c r="T25" s="952"/>
      <c r="U25" s="952"/>
      <c r="V25" s="953">
        <v>0.02</v>
      </c>
      <c r="W25" s="889"/>
      <c r="X25" s="889"/>
    </row>
    <row r="26" spans="1:30" x14ac:dyDescent="0.15">
      <c r="I26" s="889"/>
      <c r="L26" s="1285"/>
      <c r="M26" s="452"/>
      <c r="N26" s="452"/>
      <c r="O26" s="452"/>
      <c r="P26" s="452"/>
      <c r="Q26" s="452"/>
      <c r="R26" s="452"/>
      <c r="S26" s="954" t="s">
        <v>1223</v>
      </c>
      <c r="T26" s="952"/>
      <c r="U26" s="952"/>
      <c r="V26" s="955">
        <v>0.65</v>
      </c>
      <c r="W26" s="889"/>
      <c r="X26" s="889"/>
      <c r="Y26" s="889"/>
      <c r="Z26" s="889"/>
      <c r="AA26" s="889"/>
      <c r="AB26" s="889"/>
      <c r="AC26" s="889"/>
      <c r="AD26" s="889"/>
    </row>
    <row r="27" spans="1:30" x14ac:dyDescent="0.15">
      <c r="I27" s="889"/>
      <c r="L27" s="343"/>
      <c r="M27" s="343"/>
      <c r="N27" s="452"/>
      <c r="O27" s="452"/>
      <c r="P27" s="452"/>
      <c r="Q27" s="452"/>
      <c r="R27" s="452"/>
      <c r="S27" s="956" t="s">
        <v>14</v>
      </c>
      <c r="T27" s="957"/>
      <c r="U27" s="958"/>
      <c r="V27" s="959" t="e">
        <f>'[3]A.3 - Budget'!C130</f>
        <v>#REF!</v>
      </c>
      <c r="W27" s="889"/>
      <c r="X27" s="889"/>
      <c r="Y27" s="889"/>
      <c r="Z27" s="889"/>
      <c r="AA27" s="889"/>
      <c r="AB27" s="889"/>
      <c r="AC27" s="889"/>
      <c r="AD27" s="889"/>
    </row>
    <row r="28" spans="1:30" x14ac:dyDescent="0.15">
      <c r="I28" s="245"/>
      <c r="Y28" s="889"/>
      <c r="Z28" s="889"/>
      <c r="AA28" s="889"/>
      <c r="AB28" s="889"/>
      <c r="AC28" s="889"/>
      <c r="AD28" s="889"/>
    </row>
    <row r="29" spans="1:30" x14ac:dyDescent="0.15">
      <c r="I29" s="245"/>
      <c r="Q29" s="891">
        <f>5831963-5361956</f>
        <v>470007</v>
      </c>
    </row>
    <row r="30" spans="1:30" x14ac:dyDescent="0.15">
      <c r="B30"/>
      <c r="C30"/>
      <c r="D30"/>
      <c r="E30"/>
      <c r="F30"/>
      <c r="G30"/>
    </row>
    <row r="31" spans="1:30" x14ac:dyDescent="0.15">
      <c r="B31"/>
      <c r="C31"/>
      <c r="D31"/>
      <c r="E31"/>
      <c r="F31"/>
      <c r="G31"/>
    </row>
    <row r="32" spans="1:30" x14ac:dyDescent="0.15">
      <c r="B32" s="1297"/>
      <c r="C32"/>
      <c r="D32"/>
      <c r="E32"/>
      <c r="F32"/>
      <c r="G32"/>
    </row>
  </sheetData>
  <mergeCells count="4">
    <mergeCell ref="A6:A11"/>
    <mergeCell ref="A16:A22"/>
    <mergeCell ref="L24:N24"/>
    <mergeCell ref="S24:U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499984740745262"/>
  </sheetPr>
  <dimension ref="A1:C20"/>
  <sheetViews>
    <sheetView workbookViewId="0">
      <selection activeCell="P13" sqref="P13:P19"/>
    </sheetView>
  </sheetViews>
  <sheetFormatPr baseColWidth="10" defaultColWidth="8.83203125" defaultRowHeight="13" x14ac:dyDescent="0.15"/>
  <cols>
    <col min="1" max="1" width="40.5" customWidth="1"/>
    <col min="2" max="2" width="35.5" style="882" customWidth="1"/>
    <col min="3" max="3" width="14.5" customWidth="1"/>
  </cols>
  <sheetData>
    <row r="1" spans="1:3" x14ac:dyDescent="0.15">
      <c r="A1" t="str">
        <f>'A.1 - Summary '!B1</f>
        <v>Millcreek Community Reinvestment Agency</v>
      </c>
    </row>
    <row r="2" spans="1:3" x14ac:dyDescent="0.15">
      <c r="A2" s="882" t="str">
        <f>'A.1 - Summary '!B2</f>
        <v>Millcreek Center CRA</v>
      </c>
    </row>
    <row r="4" spans="1:3" s="882" customFormat="1" ht="14" thickBot="1" x14ac:dyDescent="0.2"/>
    <row r="5" spans="1:3" ht="19" thickBot="1" x14ac:dyDescent="0.25">
      <c r="A5" s="965" t="s">
        <v>1444</v>
      </c>
      <c r="B5" s="965" t="s">
        <v>1395</v>
      </c>
      <c r="C5" s="965" t="s">
        <v>1445</v>
      </c>
    </row>
    <row r="6" spans="1:3" ht="19" thickBot="1" x14ac:dyDescent="0.25">
      <c r="A6" s="968"/>
      <c r="B6" s="970"/>
      <c r="C6" s="966"/>
    </row>
    <row r="7" spans="1:3" ht="19" thickBot="1" x14ac:dyDescent="0.25">
      <c r="A7" s="968"/>
      <c r="B7" s="970"/>
      <c r="C7" s="966"/>
    </row>
    <row r="8" spans="1:3" ht="19" thickBot="1" x14ac:dyDescent="0.25">
      <c r="A8" s="968"/>
      <c r="B8" s="970"/>
      <c r="C8" s="966"/>
    </row>
    <row r="9" spans="1:3" ht="19" thickBot="1" x14ac:dyDescent="0.25">
      <c r="A9" s="968"/>
      <c r="B9" s="970"/>
      <c r="C9" s="966"/>
    </row>
    <row r="10" spans="1:3" ht="19" thickBot="1" x14ac:dyDescent="0.25">
      <c r="A10" s="968"/>
      <c r="B10" s="970"/>
      <c r="C10" s="966"/>
    </row>
    <row r="11" spans="1:3" ht="19" thickBot="1" x14ac:dyDescent="0.25">
      <c r="A11" s="968"/>
      <c r="B11" s="970"/>
      <c r="C11" s="966"/>
    </row>
    <row r="12" spans="1:3" ht="19" thickBot="1" x14ac:dyDescent="0.25">
      <c r="A12" s="968"/>
      <c r="B12" s="970"/>
      <c r="C12" s="966"/>
    </row>
    <row r="13" spans="1:3" ht="19" thickBot="1" x14ac:dyDescent="0.25">
      <c r="A13" s="968"/>
      <c r="B13" s="970"/>
      <c r="C13" s="966"/>
    </row>
    <row r="14" spans="1:3" ht="19" thickBot="1" x14ac:dyDescent="0.25">
      <c r="A14" s="968"/>
      <c r="B14" s="970"/>
      <c r="C14" s="966"/>
    </row>
    <row r="15" spans="1:3" ht="19" thickBot="1" x14ac:dyDescent="0.25">
      <c r="A15" s="968"/>
      <c r="B15" s="970"/>
      <c r="C15" s="966"/>
    </row>
    <row r="16" spans="1:3" ht="19" thickBot="1" x14ac:dyDescent="0.25">
      <c r="A16" s="968"/>
      <c r="B16" s="970"/>
      <c r="C16" s="966"/>
    </row>
    <row r="17" spans="1:3" ht="19" thickBot="1" x14ac:dyDescent="0.25">
      <c r="A17" s="968"/>
      <c r="B17" s="970"/>
      <c r="C17" s="966"/>
    </row>
    <row r="18" spans="1:3" ht="19" thickBot="1" x14ac:dyDescent="0.25">
      <c r="A18" s="968"/>
      <c r="B18" s="970"/>
      <c r="C18" s="966"/>
    </row>
    <row r="19" spans="1:3" ht="19" thickBot="1" x14ac:dyDescent="0.25">
      <c r="A19" s="968"/>
      <c r="B19" s="970"/>
      <c r="C19" s="966"/>
    </row>
    <row r="20" spans="1:3" ht="19" thickBot="1" x14ac:dyDescent="0.25">
      <c r="A20" s="969" t="s">
        <v>1456</v>
      </c>
      <c r="B20" s="969"/>
      <c r="C20" s="967">
        <f>SUM(C6:C19)</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9"/>
  <sheetViews>
    <sheetView zoomScale="115" zoomScaleNormal="115" zoomScalePageLayoutView="115" workbookViewId="0">
      <pane ySplit="7" topLeftCell="A26" activePane="bottomLeft" state="frozen"/>
      <selection activeCell="F13" sqref="F13"/>
      <selection pane="bottomLeft" activeCell="F13" sqref="F13"/>
    </sheetView>
  </sheetViews>
  <sheetFormatPr baseColWidth="10" defaultColWidth="8.83203125" defaultRowHeight="10" x14ac:dyDescent="0.15"/>
  <cols>
    <col min="1" max="1" width="24.6640625" style="105" customWidth="1"/>
    <col min="2" max="2" width="9.83203125" style="105" customWidth="1"/>
    <col min="3" max="3" width="11.5" style="105" customWidth="1"/>
    <col min="4" max="4" width="10.5" style="105" customWidth="1"/>
    <col min="5" max="5" width="7.5" style="105" customWidth="1"/>
    <col min="6" max="7" width="7.83203125" style="105" customWidth="1"/>
    <col min="8" max="8" width="11.33203125" style="105" customWidth="1"/>
    <col min="9" max="12" width="8.83203125" style="105"/>
    <col min="13" max="13" width="31.33203125" style="105" bestFit="1" customWidth="1"/>
    <col min="14" max="24" width="8.83203125" style="105"/>
    <col min="25" max="25" width="46.33203125" style="105" bestFit="1" customWidth="1"/>
    <col min="26" max="256" width="8.83203125" style="105"/>
    <col min="257" max="257" width="24.6640625" style="105" customWidth="1"/>
    <col min="258" max="258" width="9.83203125" style="105" customWidth="1"/>
    <col min="259" max="259" width="11.5" style="105" customWidth="1"/>
    <col min="260" max="260" width="10.5" style="105" customWidth="1"/>
    <col min="261" max="261" width="7.5" style="105" customWidth="1"/>
    <col min="262" max="263" width="7.83203125" style="105" customWidth="1"/>
    <col min="264" max="264" width="11.33203125" style="105" customWidth="1"/>
    <col min="265" max="512" width="8.83203125" style="105"/>
    <col min="513" max="513" width="24.6640625" style="105" customWidth="1"/>
    <col min="514" max="514" width="9.83203125" style="105" customWidth="1"/>
    <col min="515" max="515" width="11.5" style="105" customWidth="1"/>
    <col min="516" max="516" width="10.5" style="105" customWidth="1"/>
    <col min="517" max="517" width="7.5" style="105" customWidth="1"/>
    <col min="518" max="519" width="7.83203125" style="105" customWidth="1"/>
    <col min="520" max="520" width="11.33203125" style="105" customWidth="1"/>
    <col min="521" max="768" width="8.83203125" style="105"/>
    <col min="769" max="769" width="24.6640625" style="105" customWidth="1"/>
    <col min="770" max="770" width="9.83203125" style="105" customWidth="1"/>
    <col min="771" max="771" width="11.5" style="105" customWidth="1"/>
    <col min="772" max="772" width="10.5" style="105" customWidth="1"/>
    <col min="773" max="773" width="7.5" style="105" customWidth="1"/>
    <col min="774" max="775" width="7.83203125" style="105" customWidth="1"/>
    <col min="776" max="776" width="11.33203125" style="105" customWidth="1"/>
    <col min="777" max="1024" width="8.83203125" style="105"/>
    <col min="1025" max="1025" width="24.6640625" style="105" customWidth="1"/>
    <col min="1026" max="1026" width="9.83203125" style="105" customWidth="1"/>
    <col min="1027" max="1027" width="11.5" style="105" customWidth="1"/>
    <col min="1028" max="1028" width="10.5" style="105" customWidth="1"/>
    <col min="1029" max="1029" width="7.5" style="105" customWidth="1"/>
    <col min="1030" max="1031" width="7.83203125" style="105" customWidth="1"/>
    <col min="1032" max="1032" width="11.33203125" style="105" customWidth="1"/>
    <col min="1033" max="1280" width="8.83203125" style="105"/>
    <col min="1281" max="1281" width="24.6640625" style="105" customWidth="1"/>
    <col min="1282" max="1282" width="9.83203125" style="105" customWidth="1"/>
    <col min="1283" max="1283" width="11.5" style="105" customWidth="1"/>
    <col min="1284" max="1284" width="10.5" style="105" customWidth="1"/>
    <col min="1285" max="1285" width="7.5" style="105" customWidth="1"/>
    <col min="1286" max="1287" width="7.83203125" style="105" customWidth="1"/>
    <col min="1288" max="1288" width="11.33203125" style="105" customWidth="1"/>
    <col min="1289" max="1536" width="8.83203125" style="105"/>
    <col min="1537" max="1537" width="24.6640625" style="105" customWidth="1"/>
    <col min="1538" max="1538" width="9.83203125" style="105" customWidth="1"/>
    <col min="1539" max="1539" width="11.5" style="105" customWidth="1"/>
    <col min="1540" max="1540" width="10.5" style="105" customWidth="1"/>
    <col min="1541" max="1541" width="7.5" style="105" customWidth="1"/>
    <col min="1542" max="1543" width="7.83203125" style="105" customWidth="1"/>
    <col min="1544" max="1544" width="11.33203125" style="105" customWidth="1"/>
    <col min="1545" max="1792" width="8.83203125" style="105"/>
    <col min="1793" max="1793" width="24.6640625" style="105" customWidth="1"/>
    <col min="1794" max="1794" width="9.83203125" style="105" customWidth="1"/>
    <col min="1795" max="1795" width="11.5" style="105" customWidth="1"/>
    <col min="1796" max="1796" width="10.5" style="105" customWidth="1"/>
    <col min="1797" max="1797" width="7.5" style="105" customWidth="1"/>
    <col min="1798" max="1799" width="7.83203125" style="105" customWidth="1"/>
    <col min="1800" max="1800" width="11.33203125" style="105" customWidth="1"/>
    <col min="1801" max="2048" width="8.83203125" style="105"/>
    <col min="2049" max="2049" width="24.6640625" style="105" customWidth="1"/>
    <col min="2050" max="2050" width="9.83203125" style="105" customWidth="1"/>
    <col min="2051" max="2051" width="11.5" style="105" customWidth="1"/>
    <col min="2052" max="2052" width="10.5" style="105" customWidth="1"/>
    <col min="2053" max="2053" width="7.5" style="105" customWidth="1"/>
    <col min="2054" max="2055" width="7.83203125" style="105" customWidth="1"/>
    <col min="2056" max="2056" width="11.33203125" style="105" customWidth="1"/>
    <col min="2057" max="2304" width="8.83203125" style="105"/>
    <col min="2305" max="2305" width="24.6640625" style="105" customWidth="1"/>
    <col min="2306" max="2306" width="9.83203125" style="105" customWidth="1"/>
    <col min="2307" max="2307" width="11.5" style="105" customWidth="1"/>
    <col min="2308" max="2308" width="10.5" style="105" customWidth="1"/>
    <col min="2309" max="2309" width="7.5" style="105" customWidth="1"/>
    <col min="2310" max="2311" width="7.83203125" style="105" customWidth="1"/>
    <col min="2312" max="2312" width="11.33203125" style="105" customWidth="1"/>
    <col min="2313" max="2560" width="8.83203125" style="105"/>
    <col min="2561" max="2561" width="24.6640625" style="105" customWidth="1"/>
    <col min="2562" max="2562" width="9.83203125" style="105" customWidth="1"/>
    <col min="2563" max="2563" width="11.5" style="105" customWidth="1"/>
    <col min="2564" max="2564" width="10.5" style="105" customWidth="1"/>
    <col min="2565" max="2565" width="7.5" style="105" customWidth="1"/>
    <col min="2566" max="2567" width="7.83203125" style="105" customWidth="1"/>
    <col min="2568" max="2568" width="11.33203125" style="105" customWidth="1"/>
    <col min="2569" max="2816" width="8.83203125" style="105"/>
    <col min="2817" max="2817" width="24.6640625" style="105" customWidth="1"/>
    <col min="2818" max="2818" width="9.83203125" style="105" customWidth="1"/>
    <col min="2819" max="2819" width="11.5" style="105" customWidth="1"/>
    <col min="2820" max="2820" width="10.5" style="105" customWidth="1"/>
    <col min="2821" max="2821" width="7.5" style="105" customWidth="1"/>
    <col min="2822" max="2823" width="7.83203125" style="105" customWidth="1"/>
    <col min="2824" max="2824" width="11.33203125" style="105" customWidth="1"/>
    <col min="2825" max="3072" width="8.83203125" style="105"/>
    <col min="3073" max="3073" width="24.6640625" style="105" customWidth="1"/>
    <col min="3074" max="3074" width="9.83203125" style="105" customWidth="1"/>
    <col min="3075" max="3075" width="11.5" style="105" customWidth="1"/>
    <col min="3076" max="3076" width="10.5" style="105" customWidth="1"/>
    <col min="3077" max="3077" width="7.5" style="105" customWidth="1"/>
    <col min="3078" max="3079" width="7.83203125" style="105" customWidth="1"/>
    <col min="3080" max="3080" width="11.33203125" style="105" customWidth="1"/>
    <col min="3081" max="3328" width="8.83203125" style="105"/>
    <col min="3329" max="3329" width="24.6640625" style="105" customWidth="1"/>
    <col min="3330" max="3330" width="9.83203125" style="105" customWidth="1"/>
    <col min="3331" max="3331" width="11.5" style="105" customWidth="1"/>
    <col min="3332" max="3332" width="10.5" style="105" customWidth="1"/>
    <col min="3333" max="3333" width="7.5" style="105" customWidth="1"/>
    <col min="3334" max="3335" width="7.83203125" style="105" customWidth="1"/>
    <col min="3336" max="3336" width="11.33203125" style="105" customWidth="1"/>
    <col min="3337" max="3584" width="8.83203125" style="105"/>
    <col min="3585" max="3585" width="24.6640625" style="105" customWidth="1"/>
    <col min="3586" max="3586" width="9.83203125" style="105" customWidth="1"/>
    <col min="3587" max="3587" width="11.5" style="105" customWidth="1"/>
    <col min="3588" max="3588" width="10.5" style="105" customWidth="1"/>
    <col min="3589" max="3589" width="7.5" style="105" customWidth="1"/>
    <col min="3590" max="3591" width="7.83203125" style="105" customWidth="1"/>
    <col min="3592" max="3592" width="11.33203125" style="105" customWidth="1"/>
    <col min="3593" max="3840" width="8.83203125" style="105"/>
    <col min="3841" max="3841" width="24.6640625" style="105" customWidth="1"/>
    <col min="3842" max="3842" width="9.83203125" style="105" customWidth="1"/>
    <col min="3843" max="3843" width="11.5" style="105" customWidth="1"/>
    <col min="3844" max="3844" width="10.5" style="105" customWidth="1"/>
    <col min="3845" max="3845" width="7.5" style="105" customWidth="1"/>
    <col min="3846" max="3847" width="7.83203125" style="105" customWidth="1"/>
    <col min="3848" max="3848" width="11.33203125" style="105" customWidth="1"/>
    <col min="3849" max="4096" width="8.83203125" style="105"/>
    <col min="4097" max="4097" width="24.6640625" style="105" customWidth="1"/>
    <col min="4098" max="4098" width="9.83203125" style="105" customWidth="1"/>
    <col min="4099" max="4099" width="11.5" style="105" customWidth="1"/>
    <col min="4100" max="4100" width="10.5" style="105" customWidth="1"/>
    <col min="4101" max="4101" width="7.5" style="105" customWidth="1"/>
    <col min="4102" max="4103" width="7.83203125" style="105" customWidth="1"/>
    <col min="4104" max="4104" width="11.33203125" style="105" customWidth="1"/>
    <col min="4105" max="4352" width="8.83203125" style="105"/>
    <col min="4353" max="4353" width="24.6640625" style="105" customWidth="1"/>
    <col min="4354" max="4354" width="9.83203125" style="105" customWidth="1"/>
    <col min="4355" max="4355" width="11.5" style="105" customWidth="1"/>
    <col min="4356" max="4356" width="10.5" style="105" customWidth="1"/>
    <col min="4357" max="4357" width="7.5" style="105" customWidth="1"/>
    <col min="4358" max="4359" width="7.83203125" style="105" customWidth="1"/>
    <col min="4360" max="4360" width="11.33203125" style="105" customWidth="1"/>
    <col min="4361" max="4608" width="8.83203125" style="105"/>
    <col min="4609" max="4609" width="24.6640625" style="105" customWidth="1"/>
    <col min="4610" max="4610" width="9.83203125" style="105" customWidth="1"/>
    <col min="4611" max="4611" width="11.5" style="105" customWidth="1"/>
    <col min="4612" max="4612" width="10.5" style="105" customWidth="1"/>
    <col min="4613" max="4613" width="7.5" style="105" customWidth="1"/>
    <col min="4614" max="4615" width="7.83203125" style="105" customWidth="1"/>
    <col min="4616" max="4616" width="11.33203125" style="105" customWidth="1"/>
    <col min="4617" max="4864" width="8.83203125" style="105"/>
    <col min="4865" max="4865" width="24.6640625" style="105" customWidth="1"/>
    <col min="4866" max="4866" width="9.83203125" style="105" customWidth="1"/>
    <col min="4867" max="4867" width="11.5" style="105" customWidth="1"/>
    <col min="4868" max="4868" width="10.5" style="105" customWidth="1"/>
    <col min="4869" max="4869" width="7.5" style="105" customWidth="1"/>
    <col min="4870" max="4871" width="7.83203125" style="105" customWidth="1"/>
    <col min="4872" max="4872" width="11.33203125" style="105" customWidth="1"/>
    <col min="4873" max="5120" width="8.83203125" style="105"/>
    <col min="5121" max="5121" width="24.6640625" style="105" customWidth="1"/>
    <col min="5122" max="5122" width="9.83203125" style="105" customWidth="1"/>
    <col min="5123" max="5123" width="11.5" style="105" customWidth="1"/>
    <col min="5124" max="5124" width="10.5" style="105" customWidth="1"/>
    <col min="5125" max="5125" width="7.5" style="105" customWidth="1"/>
    <col min="5126" max="5127" width="7.83203125" style="105" customWidth="1"/>
    <col min="5128" max="5128" width="11.33203125" style="105" customWidth="1"/>
    <col min="5129" max="5376" width="8.83203125" style="105"/>
    <col min="5377" max="5377" width="24.6640625" style="105" customWidth="1"/>
    <col min="5378" max="5378" width="9.83203125" style="105" customWidth="1"/>
    <col min="5379" max="5379" width="11.5" style="105" customWidth="1"/>
    <col min="5380" max="5380" width="10.5" style="105" customWidth="1"/>
    <col min="5381" max="5381" width="7.5" style="105" customWidth="1"/>
    <col min="5382" max="5383" width="7.83203125" style="105" customWidth="1"/>
    <col min="5384" max="5384" width="11.33203125" style="105" customWidth="1"/>
    <col min="5385" max="5632" width="8.83203125" style="105"/>
    <col min="5633" max="5633" width="24.6640625" style="105" customWidth="1"/>
    <col min="5634" max="5634" width="9.83203125" style="105" customWidth="1"/>
    <col min="5635" max="5635" width="11.5" style="105" customWidth="1"/>
    <col min="5636" max="5636" width="10.5" style="105" customWidth="1"/>
    <col min="5637" max="5637" width="7.5" style="105" customWidth="1"/>
    <col min="5638" max="5639" width="7.83203125" style="105" customWidth="1"/>
    <col min="5640" max="5640" width="11.33203125" style="105" customWidth="1"/>
    <col min="5641" max="5888" width="8.83203125" style="105"/>
    <col min="5889" max="5889" width="24.6640625" style="105" customWidth="1"/>
    <col min="5890" max="5890" width="9.83203125" style="105" customWidth="1"/>
    <col min="5891" max="5891" width="11.5" style="105" customWidth="1"/>
    <col min="5892" max="5892" width="10.5" style="105" customWidth="1"/>
    <col min="5893" max="5893" width="7.5" style="105" customWidth="1"/>
    <col min="5894" max="5895" width="7.83203125" style="105" customWidth="1"/>
    <col min="5896" max="5896" width="11.33203125" style="105" customWidth="1"/>
    <col min="5897" max="6144" width="8.83203125" style="105"/>
    <col min="6145" max="6145" width="24.6640625" style="105" customWidth="1"/>
    <col min="6146" max="6146" width="9.83203125" style="105" customWidth="1"/>
    <col min="6147" max="6147" width="11.5" style="105" customWidth="1"/>
    <col min="6148" max="6148" width="10.5" style="105" customWidth="1"/>
    <col min="6149" max="6149" width="7.5" style="105" customWidth="1"/>
    <col min="6150" max="6151" width="7.83203125" style="105" customWidth="1"/>
    <col min="6152" max="6152" width="11.33203125" style="105" customWidth="1"/>
    <col min="6153" max="6400" width="8.83203125" style="105"/>
    <col min="6401" max="6401" width="24.6640625" style="105" customWidth="1"/>
    <col min="6402" max="6402" width="9.83203125" style="105" customWidth="1"/>
    <col min="6403" max="6403" width="11.5" style="105" customWidth="1"/>
    <col min="6404" max="6404" width="10.5" style="105" customWidth="1"/>
    <col min="6405" max="6405" width="7.5" style="105" customWidth="1"/>
    <col min="6406" max="6407" width="7.83203125" style="105" customWidth="1"/>
    <col min="6408" max="6408" width="11.33203125" style="105" customWidth="1"/>
    <col min="6409" max="6656" width="8.83203125" style="105"/>
    <col min="6657" max="6657" width="24.6640625" style="105" customWidth="1"/>
    <col min="6658" max="6658" width="9.83203125" style="105" customWidth="1"/>
    <col min="6659" max="6659" width="11.5" style="105" customWidth="1"/>
    <col min="6660" max="6660" width="10.5" style="105" customWidth="1"/>
    <col min="6661" max="6661" width="7.5" style="105" customWidth="1"/>
    <col min="6662" max="6663" width="7.83203125" style="105" customWidth="1"/>
    <col min="6664" max="6664" width="11.33203125" style="105" customWidth="1"/>
    <col min="6665" max="6912" width="8.83203125" style="105"/>
    <col min="6913" max="6913" width="24.6640625" style="105" customWidth="1"/>
    <col min="6914" max="6914" width="9.83203125" style="105" customWidth="1"/>
    <col min="6915" max="6915" width="11.5" style="105" customWidth="1"/>
    <col min="6916" max="6916" width="10.5" style="105" customWidth="1"/>
    <col min="6917" max="6917" width="7.5" style="105" customWidth="1"/>
    <col min="6918" max="6919" width="7.83203125" style="105" customWidth="1"/>
    <col min="6920" max="6920" width="11.33203125" style="105" customWidth="1"/>
    <col min="6921" max="7168" width="8.83203125" style="105"/>
    <col min="7169" max="7169" width="24.6640625" style="105" customWidth="1"/>
    <col min="7170" max="7170" width="9.83203125" style="105" customWidth="1"/>
    <col min="7171" max="7171" width="11.5" style="105" customWidth="1"/>
    <col min="7172" max="7172" width="10.5" style="105" customWidth="1"/>
    <col min="7173" max="7173" width="7.5" style="105" customWidth="1"/>
    <col min="7174" max="7175" width="7.83203125" style="105" customWidth="1"/>
    <col min="7176" max="7176" width="11.33203125" style="105" customWidth="1"/>
    <col min="7177" max="7424" width="8.83203125" style="105"/>
    <col min="7425" max="7425" width="24.6640625" style="105" customWidth="1"/>
    <col min="7426" max="7426" width="9.83203125" style="105" customWidth="1"/>
    <col min="7427" max="7427" width="11.5" style="105" customWidth="1"/>
    <col min="7428" max="7428" width="10.5" style="105" customWidth="1"/>
    <col min="7429" max="7429" width="7.5" style="105" customWidth="1"/>
    <col min="7430" max="7431" width="7.83203125" style="105" customWidth="1"/>
    <col min="7432" max="7432" width="11.33203125" style="105" customWidth="1"/>
    <col min="7433" max="7680" width="8.83203125" style="105"/>
    <col min="7681" max="7681" width="24.6640625" style="105" customWidth="1"/>
    <col min="7682" max="7682" width="9.83203125" style="105" customWidth="1"/>
    <col min="7683" max="7683" width="11.5" style="105" customWidth="1"/>
    <col min="7684" max="7684" width="10.5" style="105" customWidth="1"/>
    <col min="7685" max="7685" width="7.5" style="105" customWidth="1"/>
    <col min="7686" max="7687" width="7.83203125" style="105" customWidth="1"/>
    <col min="7688" max="7688" width="11.33203125" style="105" customWidth="1"/>
    <col min="7689" max="7936" width="8.83203125" style="105"/>
    <col min="7937" max="7937" width="24.6640625" style="105" customWidth="1"/>
    <col min="7938" max="7938" width="9.83203125" style="105" customWidth="1"/>
    <col min="7939" max="7939" width="11.5" style="105" customWidth="1"/>
    <col min="7940" max="7940" width="10.5" style="105" customWidth="1"/>
    <col min="7941" max="7941" width="7.5" style="105" customWidth="1"/>
    <col min="7942" max="7943" width="7.83203125" style="105" customWidth="1"/>
    <col min="7944" max="7944" width="11.33203125" style="105" customWidth="1"/>
    <col min="7945" max="8192" width="8.83203125" style="105"/>
    <col min="8193" max="8193" width="24.6640625" style="105" customWidth="1"/>
    <col min="8194" max="8194" width="9.83203125" style="105" customWidth="1"/>
    <col min="8195" max="8195" width="11.5" style="105" customWidth="1"/>
    <col min="8196" max="8196" width="10.5" style="105" customWidth="1"/>
    <col min="8197" max="8197" width="7.5" style="105" customWidth="1"/>
    <col min="8198" max="8199" width="7.83203125" style="105" customWidth="1"/>
    <col min="8200" max="8200" width="11.33203125" style="105" customWidth="1"/>
    <col min="8201" max="8448" width="8.83203125" style="105"/>
    <col min="8449" max="8449" width="24.6640625" style="105" customWidth="1"/>
    <col min="8450" max="8450" width="9.83203125" style="105" customWidth="1"/>
    <col min="8451" max="8451" width="11.5" style="105" customWidth="1"/>
    <col min="8452" max="8452" width="10.5" style="105" customWidth="1"/>
    <col min="8453" max="8453" width="7.5" style="105" customWidth="1"/>
    <col min="8454" max="8455" width="7.83203125" style="105" customWidth="1"/>
    <col min="8456" max="8456" width="11.33203125" style="105" customWidth="1"/>
    <col min="8457" max="8704" width="8.83203125" style="105"/>
    <col min="8705" max="8705" width="24.6640625" style="105" customWidth="1"/>
    <col min="8706" max="8706" width="9.83203125" style="105" customWidth="1"/>
    <col min="8707" max="8707" width="11.5" style="105" customWidth="1"/>
    <col min="8708" max="8708" width="10.5" style="105" customWidth="1"/>
    <col min="8709" max="8709" width="7.5" style="105" customWidth="1"/>
    <col min="8710" max="8711" width="7.83203125" style="105" customWidth="1"/>
    <col min="8712" max="8712" width="11.33203125" style="105" customWidth="1"/>
    <col min="8713" max="8960" width="8.83203125" style="105"/>
    <col min="8961" max="8961" width="24.6640625" style="105" customWidth="1"/>
    <col min="8962" max="8962" width="9.83203125" style="105" customWidth="1"/>
    <col min="8963" max="8963" width="11.5" style="105" customWidth="1"/>
    <col min="8964" max="8964" width="10.5" style="105" customWidth="1"/>
    <col min="8965" max="8965" width="7.5" style="105" customWidth="1"/>
    <col min="8966" max="8967" width="7.83203125" style="105" customWidth="1"/>
    <col min="8968" max="8968" width="11.33203125" style="105" customWidth="1"/>
    <col min="8969" max="9216" width="8.83203125" style="105"/>
    <col min="9217" max="9217" width="24.6640625" style="105" customWidth="1"/>
    <col min="9218" max="9218" width="9.83203125" style="105" customWidth="1"/>
    <col min="9219" max="9219" width="11.5" style="105" customWidth="1"/>
    <col min="9220" max="9220" width="10.5" style="105" customWidth="1"/>
    <col min="9221" max="9221" width="7.5" style="105" customWidth="1"/>
    <col min="9222" max="9223" width="7.83203125" style="105" customWidth="1"/>
    <col min="9224" max="9224" width="11.33203125" style="105" customWidth="1"/>
    <col min="9225" max="9472" width="8.83203125" style="105"/>
    <col min="9473" max="9473" width="24.6640625" style="105" customWidth="1"/>
    <col min="9474" max="9474" width="9.83203125" style="105" customWidth="1"/>
    <col min="9475" max="9475" width="11.5" style="105" customWidth="1"/>
    <col min="9476" max="9476" width="10.5" style="105" customWidth="1"/>
    <col min="9477" max="9477" width="7.5" style="105" customWidth="1"/>
    <col min="9478" max="9479" width="7.83203125" style="105" customWidth="1"/>
    <col min="9480" max="9480" width="11.33203125" style="105" customWidth="1"/>
    <col min="9481" max="9728" width="8.83203125" style="105"/>
    <col min="9729" max="9729" width="24.6640625" style="105" customWidth="1"/>
    <col min="9730" max="9730" width="9.83203125" style="105" customWidth="1"/>
    <col min="9731" max="9731" width="11.5" style="105" customWidth="1"/>
    <col min="9732" max="9732" width="10.5" style="105" customWidth="1"/>
    <col min="9733" max="9733" width="7.5" style="105" customWidth="1"/>
    <col min="9734" max="9735" width="7.83203125" style="105" customWidth="1"/>
    <col min="9736" max="9736" width="11.33203125" style="105" customWidth="1"/>
    <col min="9737" max="9984" width="8.83203125" style="105"/>
    <col min="9985" max="9985" width="24.6640625" style="105" customWidth="1"/>
    <col min="9986" max="9986" width="9.83203125" style="105" customWidth="1"/>
    <col min="9987" max="9987" width="11.5" style="105" customWidth="1"/>
    <col min="9988" max="9988" width="10.5" style="105" customWidth="1"/>
    <col min="9989" max="9989" width="7.5" style="105" customWidth="1"/>
    <col min="9990" max="9991" width="7.83203125" style="105" customWidth="1"/>
    <col min="9992" max="9992" width="11.33203125" style="105" customWidth="1"/>
    <col min="9993" max="10240" width="8.83203125" style="105"/>
    <col min="10241" max="10241" width="24.6640625" style="105" customWidth="1"/>
    <col min="10242" max="10242" width="9.83203125" style="105" customWidth="1"/>
    <col min="10243" max="10243" width="11.5" style="105" customWidth="1"/>
    <col min="10244" max="10244" width="10.5" style="105" customWidth="1"/>
    <col min="10245" max="10245" width="7.5" style="105" customWidth="1"/>
    <col min="10246" max="10247" width="7.83203125" style="105" customWidth="1"/>
    <col min="10248" max="10248" width="11.33203125" style="105" customWidth="1"/>
    <col min="10249" max="10496" width="8.83203125" style="105"/>
    <col min="10497" max="10497" width="24.6640625" style="105" customWidth="1"/>
    <col min="10498" max="10498" width="9.83203125" style="105" customWidth="1"/>
    <col min="10499" max="10499" width="11.5" style="105" customWidth="1"/>
    <col min="10500" max="10500" width="10.5" style="105" customWidth="1"/>
    <col min="10501" max="10501" width="7.5" style="105" customWidth="1"/>
    <col min="10502" max="10503" width="7.83203125" style="105" customWidth="1"/>
    <col min="10504" max="10504" width="11.33203125" style="105" customWidth="1"/>
    <col min="10505" max="10752" width="8.83203125" style="105"/>
    <col min="10753" max="10753" width="24.6640625" style="105" customWidth="1"/>
    <col min="10754" max="10754" width="9.83203125" style="105" customWidth="1"/>
    <col min="10755" max="10755" width="11.5" style="105" customWidth="1"/>
    <col min="10756" max="10756" width="10.5" style="105" customWidth="1"/>
    <col min="10757" max="10757" width="7.5" style="105" customWidth="1"/>
    <col min="10758" max="10759" width="7.83203125" style="105" customWidth="1"/>
    <col min="10760" max="10760" width="11.33203125" style="105" customWidth="1"/>
    <col min="10761" max="11008" width="8.83203125" style="105"/>
    <col min="11009" max="11009" width="24.6640625" style="105" customWidth="1"/>
    <col min="11010" max="11010" width="9.83203125" style="105" customWidth="1"/>
    <col min="11011" max="11011" width="11.5" style="105" customWidth="1"/>
    <col min="11012" max="11012" width="10.5" style="105" customWidth="1"/>
    <col min="11013" max="11013" width="7.5" style="105" customWidth="1"/>
    <col min="11014" max="11015" width="7.83203125" style="105" customWidth="1"/>
    <col min="11016" max="11016" width="11.33203125" style="105" customWidth="1"/>
    <col min="11017" max="11264" width="8.83203125" style="105"/>
    <col min="11265" max="11265" width="24.6640625" style="105" customWidth="1"/>
    <col min="11266" max="11266" width="9.83203125" style="105" customWidth="1"/>
    <col min="11267" max="11267" width="11.5" style="105" customWidth="1"/>
    <col min="11268" max="11268" width="10.5" style="105" customWidth="1"/>
    <col min="11269" max="11269" width="7.5" style="105" customWidth="1"/>
    <col min="11270" max="11271" width="7.83203125" style="105" customWidth="1"/>
    <col min="11272" max="11272" width="11.33203125" style="105" customWidth="1"/>
    <col min="11273" max="11520" width="8.83203125" style="105"/>
    <col min="11521" max="11521" width="24.6640625" style="105" customWidth="1"/>
    <col min="11522" max="11522" width="9.83203125" style="105" customWidth="1"/>
    <col min="11523" max="11523" width="11.5" style="105" customWidth="1"/>
    <col min="11524" max="11524" width="10.5" style="105" customWidth="1"/>
    <col min="11525" max="11525" width="7.5" style="105" customWidth="1"/>
    <col min="11526" max="11527" width="7.83203125" style="105" customWidth="1"/>
    <col min="11528" max="11528" width="11.33203125" style="105" customWidth="1"/>
    <col min="11529" max="11776" width="8.83203125" style="105"/>
    <col min="11777" max="11777" width="24.6640625" style="105" customWidth="1"/>
    <col min="11778" max="11778" width="9.83203125" style="105" customWidth="1"/>
    <col min="11779" max="11779" width="11.5" style="105" customWidth="1"/>
    <col min="11780" max="11780" width="10.5" style="105" customWidth="1"/>
    <col min="11781" max="11781" width="7.5" style="105" customWidth="1"/>
    <col min="11782" max="11783" width="7.83203125" style="105" customWidth="1"/>
    <col min="11784" max="11784" width="11.33203125" style="105" customWidth="1"/>
    <col min="11785" max="12032" width="8.83203125" style="105"/>
    <col min="12033" max="12033" width="24.6640625" style="105" customWidth="1"/>
    <col min="12034" max="12034" width="9.83203125" style="105" customWidth="1"/>
    <col min="12035" max="12035" width="11.5" style="105" customWidth="1"/>
    <col min="12036" max="12036" width="10.5" style="105" customWidth="1"/>
    <col min="12037" max="12037" width="7.5" style="105" customWidth="1"/>
    <col min="12038" max="12039" width="7.83203125" style="105" customWidth="1"/>
    <col min="12040" max="12040" width="11.33203125" style="105" customWidth="1"/>
    <col min="12041" max="12288" width="8.83203125" style="105"/>
    <col min="12289" max="12289" width="24.6640625" style="105" customWidth="1"/>
    <col min="12290" max="12290" width="9.83203125" style="105" customWidth="1"/>
    <col min="12291" max="12291" width="11.5" style="105" customWidth="1"/>
    <col min="12292" max="12292" width="10.5" style="105" customWidth="1"/>
    <col min="12293" max="12293" width="7.5" style="105" customWidth="1"/>
    <col min="12294" max="12295" width="7.83203125" style="105" customWidth="1"/>
    <col min="12296" max="12296" width="11.33203125" style="105" customWidth="1"/>
    <col min="12297" max="12544" width="8.83203125" style="105"/>
    <col min="12545" max="12545" width="24.6640625" style="105" customWidth="1"/>
    <col min="12546" max="12546" width="9.83203125" style="105" customWidth="1"/>
    <col min="12547" max="12547" width="11.5" style="105" customWidth="1"/>
    <col min="12548" max="12548" width="10.5" style="105" customWidth="1"/>
    <col min="12549" max="12549" width="7.5" style="105" customWidth="1"/>
    <col min="12550" max="12551" width="7.83203125" style="105" customWidth="1"/>
    <col min="12552" max="12552" width="11.33203125" style="105" customWidth="1"/>
    <col min="12553" max="12800" width="8.83203125" style="105"/>
    <col min="12801" max="12801" width="24.6640625" style="105" customWidth="1"/>
    <col min="12802" max="12802" width="9.83203125" style="105" customWidth="1"/>
    <col min="12803" max="12803" width="11.5" style="105" customWidth="1"/>
    <col min="12804" max="12804" width="10.5" style="105" customWidth="1"/>
    <col min="12805" max="12805" width="7.5" style="105" customWidth="1"/>
    <col min="12806" max="12807" width="7.83203125" style="105" customWidth="1"/>
    <col min="12808" max="12808" width="11.33203125" style="105" customWidth="1"/>
    <col min="12809" max="13056" width="8.83203125" style="105"/>
    <col min="13057" max="13057" width="24.6640625" style="105" customWidth="1"/>
    <col min="13058" max="13058" width="9.83203125" style="105" customWidth="1"/>
    <col min="13059" max="13059" width="11.5" style="105" customWidth="1"/>
    <col min="13060" max="13060" width="10.5" style="105" customWidth="1"/>
    <col min="13061" max="13061" width="7.5" style="105" customWidth="1"/>
    <col min="13062" max="13063" width="7.83203125" style="105" customWidth="1"/>
    <col min="13064" max="13064" width="11.33203125" style="105" customWidth="1"/>
    <col min="13065" max="13312" width="8.83203125" style="105"/>
    <col min="13313" max="13313" width="24.6640625" style="105" customWidth="1"/>
    <col min="13314" max="13314" width="9.83203125" style="105" customWidth="1"/>
    <col min="13315" max="13315" width="11.5" style="105" customWidth="1"/>
    <col min="13316" max="13316" width="10.5" style="105" customWidth="1"/>
    <col min="13317" max="13317" width="7.5" style="105" customWidth="1"/>
    <col min="13318" max="13319" width="7.83203125" style="105" customWidth="1"/>
    <col min="13320" max="13320" width="11.33203125" style="105" customWidth="1"/>
    <col min="13321" max="13568" width="8.83203125" style="105"/>
    <col min="13569" max="13569" width="24.6640625" style="105" customWidth="1"/>
    <col min="13570" max="13570" width="9.83203125" style="105" customWidth="1"/>
    <col min="13571" max="13571" width="11.5" style="105" customWidth="1"/>
    <col min="13572" max="13572" width="10.5" style="105" customWidth="1"/>
    <col min="13573" max="13573" width="7.5" style="105" customWidth="1"/>
    <col min="13574" max="13575" width="7.83203125" style="105" customWidth="1"/>
    <col min="13576" max="13576" width="11.33203125" style="105" customWidth="1"/>
    <col min="13577" max="13824" width="8.83203125" style="105"/>
    <col min="13825" max="13825" width="24.6640625" style="105" customWidth="1"/>
    <col min="13826" max="13826" width="9.83203125" style="105" customWidth="1"/>
    <col min="13827" max="13827" width="11.5" style="105" customWidth="1"/>
    <col min="13828" max="13828" width="10.5" style="105" customWidth="1"/>
    <col min="13829" max="13829" width="7.5" style="105" customWidth="1"/>
    <col min="13830" max="13831" width="7.83203125" style="105" customWidth="1"/>
    <col min="13832" max="13832" width="11.33203125" style="105" customWidth="1"/>
    <col min="13833" max="14080" width="8.83203125" style="105"/>
    <col min="14081" max="14081" width="24.6640625" style="105" customWidth="1"/>
    <col min="14082" max="14082" width="9.83203125" style="105" customWidth="1"/>
    <col min="14083" max="14083" width="11.5" style="105" customWidth="1"/>
    <col min="14084" max="14084" width="10.5" style="105" customWidth="1"/>
    <col min="14085" max="14085" width="7.5" style="105" customWidth="1"/>
    <col min="14086" max="14087" width="7.83203125" style="105" customWidth="1"/>
    <col min="14088" max="14088" width="11.33203125" style="105" customWidth="1"/>
    <col min="14089" max="14336" width="8.83203125" style="105"/>
    <col min="14337" max="14337" width="24.6640625" style="105" customWidth="1"/>
    <col min="14338" max="14338" width="9.83203125" style="105" customWidth="1"/>
    <col min="14339" max="14339" width="11.5" style="105" customWidth="1"/>
    <col min="14340" max="14340" width="10.5" style="105" customWidth="1"/>
    <col min="14341" max="14341" width="7.5" style="105" customWidth="1"/>
    <col min="14342" max="14343" width="7.83203125" style="105" customWidth="1"/>
    <col min="14344" max="14344" width="11.33203125" style="105" customWidth="1"/>
    <col min="14345" max="14592" width="8.83203125" style="105"/>
    <col min="14593" max="14593" width="24.6640625" style="105" customWidth="1"/>
    <col min="14594" max="14594" width="9.83203125" style="105" customWidth="1"/>
    <col min="14595" max="14595" width="11.5" style="105" customWidth="1"/>
    <col min="14596" max="14596" width="10.5" style="105" customWidth="1"/>
    <col min="14597" max="14597" width="7.5" style="105" customWidth="1"/>
    <col min="14598" max="14599" width="7.83203125" style="105" customWidth="1"/>
    <col min="14600" max="14600" width="11.33203125" style="105" customWidth="1"/>
    <col min="14601" max="14848" width="8.83203125" style="105"/>
    <col min="14849" max="14849" width="24.6640625" style="105" customWidth="1"/>
    <col min="14850" max="14850" width="9.83203125" style="105" customWidth="1"/>
    <col min="14851" max="14851" width="11.5" style="105" customWidth="1"/>
    <col min="14852" max="14852" width="10.5" style="105" customWidth="1"/>
    <col min="14853" max="14853" width="7.5" style="105" customWidth="1"/>
    <col min="14854" max="14855" width="7.83203125" style="105" customWidth="1"/>
    <col min="14856" max="14856" width="11.33203125" style="105" customWidth="1"/>
    <col min="14857" max="15104" width="8.83203125" style="105"/>
    <col min="15105" max="15105" width="24.6640625" style="105" customWidth="1"/>
    <col min="15106" max="15106" width="9.83203125" style="105" customWidth="1"/>
    <col min="15107" max="15107" width="11.5" style="105" customWidth="1"/>
    <col min="15108" max="15108" width="10.5" style="105" customWidth="1"/>
    <col min="15109" max="15109" width="7.5" style="105" customWidth="1"/>
    <col min="15110" max="15111" width="7.83203125" style="105" customWidth="1"/>
    <col min="15112" max="15112" width="11.33203125" style="105" customWidth="1"/>
    <col min="15113" max="15360" width="8.83203125" style="105"/>
    <col min="15361" max="15361" width="24.6640625" style="105" customWidth="1"/>
    <col min="15362" max="15362" width="9.83203125" style="105" customWidth="1"/>
    <col min="15363" max="15363" width="11.5" style="105" customWidth="1"/>
    <col min="15364" max="15364" width="10.5" style="105" customWidth="1"/>
    <col min="15365" max="15365" width="7.5" style="105" customWidth="1"/>
    <col min="15366" max="15367" width="7.83203125" style="105" customWidth="1"/>
    <col min="15368" max="15368" width="11.33203125" style="105" customWidth="1"/>
    <col min="15369" max="15616" width="8.83203125" style="105"/>
    <col min="15617" max="15617" width="24.6640625" style="105" customWidth="1"/>
    <col min="15618" max="15618" width="9.83203125" style="105" customWidth="1"/>
    <col min="15619" max="15619" width="11.5" style="105" customWidth="1"/>
    <col min="15620" max="15620" width="10.5" style="105" customWidth="1"/>
    <col min="15621" max="15621" width="7.5" style="105" customWidth="1"/>
    <col min="15622" max="15623" width="7.83203125" style="105" customWidth="1"/>
    <col min="15624" max="15624" width="11.33203125" style="105" customWidth="1"/>
    <col min="15625" max="15872" width="8.83203125" style="105"/>
    <col min="15873" max="15873" width="24.6640625" style="105" customWidth="1"/>
    <col min="15874" max="15874" width="9.83203125" style="105" customWidth="1"/>
    <col min="15875" max="15875" width="11.5" style="105" customWidth="1"/>
    <col min="15876" max="15876" width="10.5" style="105" customWidth="1"/>
    <col min="15877" max="15877" width="7.5" style="105" customWidth="1"/>
    <col min="15878" max="15879" width="7.83203125" style="105" customWidth="1"/>
    <col min="15880" max="15880" width="11.33203125" style="105" customWidth="1"/>
    <col min="15881" max="16128" width="8.83203125" style="105"/>
    <col min="16129" max="16129" width="24.6640625" style="105" customWidth="1"/>
    <col min="16130" max="16130" width="9.83203125" style="105" customWidth="1"/>
    <col min="16131" max="16131" width="11.5" style="105" customWidth="1"/>
    <col min="16132" max="16132" width="10.5" style="105" customWidth="1"/>
    <col min="16133" max="16133" width="7.5" style="105" customWidth="1"/>
    <col min="16134" max="16135" width="7.83203125" style="105" customWidth="1"/>
    <col min="16136" max="16136" width="11.33203125" style="105" customWidth="1"/>
    <col min="16137" max="16384" width="8.83203125" style="105"/>
  </cols>
  <sheetData>
    <row r="1" spans="1:25" ht="12" x14ac:dyDescent="0.15">
      <c r="A1" s="104" t="s">
        <v>77</v>
      </c>
      <c r="B1" s="104"/>
    </row>
    <row r="2" spans="1:25" ht="12" x14ac:dyDescent="0.15">
      <c r="A2" s="104" t="s">
        <v>1270</v>
      </c>
      <c r="B2" s="104"/>
    </row>
    <row r="4" spans="1:25" s="106" customFormat="1" ht="24" customHeight="1" x14ac:dyDescent="0.15">
      <c r="A4" s="1332" t="s">
        <v>79</v>
      </c>
      <c r="B4" s="1333"/>
      <c r="C4" s="1333"/>
      <c r="D4" s="1333"/>
      <c r="E4" s="1333"/>
      <c r="F4" s="1333"/>
      <c r="G4" s="1333"/>
      <c r="H4" s="1333"/>
      <c r="M4" s="1358" t="s">
        <v>1276</v>
      </c>
      <c r="N4" s="1358"/>
      <c r="O4" s="1358"/>
      <c r="P4" s="1358"/>
      <c r="Q4" s="1358"/>
      <c r="R4" s="1358"/>
      <c r="S4" s="1358"/>
      <c r="T4" s="1358"/>
      <c r="U4" s="1358"/>
      <c r="V4" s="1358"/>
      <c r="W4" s="1358"/>
      <c r="X4" s="1358"/>
    </row>
    <row r="5" spans="1:25" s="108" customFormat="1" ht="34.5" customHeight="1" x14ac:dyDescent="0.15">
      <c r="A5" s="1334"/>
      <c r="B5" s="1337" t="s">
        <v>80</v>
      </c>
      <c r="C5" s="1337"/>
      <c r="D5" s="1337"/>
      <c r="E5" s="1337" t="s">
        <v>81</v>
      </c>
      <c r="F5" s="1337"/>
      <c r="G5" s="1337"/>
      <c r="H5" s="107" t="s">
        <v>82</v>
      </c>
      <c r="M5" s="1359"/>
      <c r="N5" s="1359"/>
      <c r="O5" s="1359"/>
      <c r="P5" s="1359"/>
      <c r="Q5" s="1359"/>
      <c r="R5" s="1359"/>
      <c r="S5" s="1359"/>
      <c r="T5" s="1359"/>
      <c r="U5" s="1359"/>
      <c r="V5" s="1359"/>
      <c r="W5" s="1359"/>
      <c r="X5" s="1359"/>
      <c r="Y5" s="108" t="s">
        <v>1315</v>
      </c>
    </row>
    <row r="6" spans="1:25" s="108" customFormat="1" ht="39" customHeight="1" x14ac:dyDescent="0.15">
      <c r="A6" s="1335"/>
      <c r="B6" s="1338" t="s">
        <v>83</v>
      </c>
      <c r="C6" s="1338" t="s">
        <v>84</v>
      </c>
      <c r="D6" s="1338" t="s">
        <v>85</v>
      </c>
      <c r="E6" s="109" t="s">
        <v>86</v>
      </c>
      <c r="F6" s="1340" t="s">
        <v>38</v>
      </c>
      <c r="G6" s="1341"/>
      <c r="H6" s="1342" t="s">
        <v>87</v>
      </c>
      <c r="M6" s="351"/>
      <c r="N6" s="378"/>
      <c r="O6" s="1366" t="s">
        <v>1277</v>
      </c>
      <c r="P6" s="1369" t="s">
        <v>1278</v>
      </c>
      <c r="Q6" s="1360" t="s">
        <v>1279</v>
      </c>
      <c r="R6" s="1361"/>
      <c r="S6" s="1361"/>
      <c r="T6" s="1362"/>
      <c r="U6" s="1360" t="s">
        <v>1280</v>
      </c>
      <c r="V6" s="1361"/>
      <c r="W6" s="1361"/>
      <c r="X6" s="1361"/>
    </row>
    <row r="7" spans="1:25" s="108" customFormat="1" ht="42" customHeight="1" x14ac:dyDescent="0.15">
      <c r="A7" s="1336"/>
      <c r="B7" s="1339"/>
      <c r="C7" s="1339"/>
      <c r="D7" s="1339"/>
      <c r="E7" s="109" t="s">
        <v>88</v>
      </c>
      <c r="F7" s="109" t="s">
        <v>88</v>
      </c>
      <c r="G7" s="109" t="s">
        <v>89</v>
      </c>
      <c r="H7" s="1343"/>
      <c r="M7" s="349"/>
      <c r="N7" s="379"/>
      <c r="O7" s="1377"/>
      <c r="P7" s="1378"/>
      <c r="Q7" s="1363"/>
      <c r="R7" s="1364"/>
      <c r="S7" s="1364"/>
      <c r="T7" s="1365"/>
      <c r="U7" s="1363"/>
      <c r="V7" s="1364"/>
      <c r="W7" s="1364"/>
      <c r="X7" s="1364"/>
    </row>
    <row r="8" spans="1:25" s="108" customFormat="1" ht="10.25" customHeight="1" x14ac:dyDescent="0.15">
      <c r="M8" s="1375" t="s">
        <v>1281</v>
      </c>
      <c r="N8" s="1372" t="s">
        <v>1282</v>
      </c>
      <c r="O8" s="390"/>
      <c r="P8" s="392"/>
      <c r="Q8" s="1366" t="s">
        <v>1283</v>
      </c>
      <c r="R8" s="1353" t="s">
        <v>1284</v>
      </c>
      <c r="S8" s="1353" t="s">
        <v>1285</v>
      </c>
      <c r="T8" s="1353" t="s">
        <v>1286</v>
      </c>
      <c r="U8" s="1350" t="s">
        <v>1287</v>
      </c>
      <c r="V8" s="1369" t="s">
        <v>1288</v>
      </c>
      <c r="W8" s="1369" t="s">
        <v>1289</v>
      </c>
      <c r="X8" s="1347" t="s">
        <v>1290</v>
      </c>
    </row>
    <row r="9" spans="1:25" s="113" customFormat="1" ht="10.25" customHeight="1" x14ac:dyDescent="0.15">
      <c r="A9" s="110" t="s">
        <v>90</v>
      </c>
      <c r="B9" s="111">
        <v>4404</v>
      </c>
      <c r="C9" s="111">
        <v>63307</v>
      </c>
      <c r="D9" s="112">
        <v>14.4</v>
      </c>
      <c r="E9" s="111">
        <v>9168</v>
      </c>
      <c r="F9" s="111">
        <v>3037</v>
      </c>
      <c r="G9" s="111">
        <v>890</v>
      </c>
      <c r="H9" s="111">
        <v>69032</v>
      </c>
      <c r="M9" s="1375"/>
      <c r="N9" s="1373"/>
      <c r="O9" s="390"/>
      <c r="P9" s="392"/>
      <c r="Q9" s="1367"/>
      <c r="R9" s="1354"/>
      <c r="S9" s="1354"/>
      <c r="T9" s="1354"/>
      <c r="U9" s="1351"/>
      <c r="V9" s="1370"/>
      <c r="W9" s="1370"/>
      <c r="X9" s="1348"/>
    </row>
    <row r="10" spans="1:25" s="108" customFormat="1" ht="10.25" customHeight="1" x14ac:dyDescent="0.15">
      <c r="A10" s="114"/>
      <c r="B10" s="111"/>
      <c r="C10" s="111"/>
      <c r="D10" s="112"/>
      <c r="E10" s="111"/>
      <c r="F10" s="111"/>
      <c r="G10" s="111"/>
      <c r="H10" s="111"/>
      <c r="M10" s="1376"/>
      <c r="N10" s="1373"/>
      <c r="O10" s="390"/>
      <c r="P10" s="392"/>
      <c r="Q10" s="1367"/>
      <c r="R10" s="1354"/>
      <c r="S10" s="1354"/>
      <c r="T10" s="1354"/>
      <c r="U10" s="1351"/>
      <c r="V10" s="1370"/>
      <c r="W10" s="1370"/>
      <c r="X10" s="1348"/>
    </row>
    <row r="11" spans="1:25" ht="62.25" customHeight="1" x14ac:dyDescent="0.15">
      <c r="A11" s="115" t="s">
        <v>91</v>
      </c>
      <c r="B11" s="111"/>
      <c r="C11" s="111"/>
      <c r="D11" s="112"/>
      <c r="E11" s="111"/>
      <c r="F11" s="111"/>
      <c r="G11" s="111"/>
      <c r="H11" s="111"/>
      <c r="I11" s="116"/>
      <c r="J11" s="116"/>
      <c r="K11" s="116"/>
      <c r="L11" s="117"/>
      <c r="M11" s="350"/>
      <c r="N11" s="1374"/>
      <c r="O11" s="391"/>
      <c r="P11" s="393"/>
      <c r="Q11" s="1368"/>
      <c r="R11" s="1355"/>
      <c r="S11" s="1355"/>
      <c r="T11" s="1355"/>
      <c r="U11" s="1352"/>
      <c r="V11" s="1371"/>
      <c r="W11" s="1371"/>
      <c r="X11" s="1349"/>
    </row>
    <row r="12" spans="1:25" ht="10.25" customHeight="1" x14ac:dyDescent="0.15">
      <c r="A12" s="115" t="s">
        <v>92</v>
      </c>
      <c r="B12" s="111"/>
      <c r="C12" s="111"/>
      <c r="D12" s="112"/>
      <c r="E12" s="111"/>
      <c r="F12" s="111"/>
      <c r="G12" s="111"/>
      <c r="H12" s="111"/>
      <c r="I12" s="116"/>
      <c r="J12" s="116"/>
      <c r="K12" s="116"/>
      <c r="L12" s="117"/>
      <c r="M12" s="349"/>
      <c r="N12" s="349"/>
      <c r="O12" s="349"/>
      <c r="P12" s="349"/>
      <c r="Q12" s="383"/>
      <c r="R12" s="384"/>
      <c r="S12" s="384"/>
      <c r="T12" s="384"/>
      <c r="U12" s="349"/>
      <c r="V12" s="349"/>
      <c r="W12" s="349"/>
      <c r="X12" s="349"/>
    </row>
    <row r="13" spans="1:25" ht="10.25" customHeight="1" x14ac:dyDescent="0.15">
      <c r="A13" s="118" t="s">
        <v>93</v>
      </c>
      <c r="B13" s="111">
        <v>2384</v>
      </c>
      <c r="C13" s="111">
        <v>6346</v>
      </c>
      <c r="D13" s="112">
        <v>2.7</v>
      </c>
      <c r="E13" s="111">
        <v>1164</v>
      </c>
      <c r="F13" s="111">
        <v>386</v>
      </c>
      <c r="G13" s="111">
        <v>113</v>
      </c>
      <c r="H13" s="111">
        <v>10348</v>
      </c>
      <c r="I13" s="116"/>
      <c r="J13" s="116">
        <f>(G13*10^9)/(C13*10^6)</f>
        <v>17.806492278600693</v>
      </c>
      <c r="K13" s="116"/>
      <c r="L13" s="117"/>
      <c r="M13" s="352" t="s">
        <v>13</v>
      </c>
      <c r="N13" s="369">
        <v>111.1</v>
      </c>
      <c r="O13" s="370">
        <v>2.57</v>
      </c>
      <c r="P13" s="371">
        <v>2171</v>
      </c>
      <c r="Q13" s="370">
        <v>10.55</v>
      </c>
      <c r="R13" s="375">
        <v>94.9</v>
      </c>
      <c r="S13" s="375">
        <v>37</v>
      </c>
      <c r="T13" s="375">
        <v>43.7</v>
      </c>
      <c r="U13" s="386">
        <v>201.07</v>
      </c>
      <c r="V13" s="371">
        <v>1810</v>
      </c>
      <c r="W13" s="371">
        <v>705</v>
      </c>
      <c r="X13" s="386">
        <v>0.83</v>
      </c>
    </row>
    <row r="14" spans="1:25" ht="10.25" customHeight="1" x14ac:dyDescent="0.15">
      <c r="A14" s="118" t="s">
        <v>94</v>
      </c>
      <c r="B14" s="111">
        <v>834</v>
      </c>
      <c r="C14" s="111">
        <v>6197</v>
      </c>
      <c r="D14" s="112">
        <v>7.4</v>
      </c>
      <c r="E14" s="111">
        <v>790</v>
      </c>
      <c r="F14" s="111">
        <v>262</v>
      </c>
      <c r="G14" s="111">
        <v>77</v>
      </c>
      <c r="H14" s="111">
        <v>7296</v>
      </c>
      <c r="I14" s="116"/>
      <c r="J14" s="116">
        <f t="shared" ref="J14:J20" si="0">(G14*10^9)/(C14*10^6)</f>
        <v>12.42536711311925</v>
      </c>
      <c r="K14" s="116"/>
      <c r="L14" s="117"/>
      <c r="M14" s="353"/>
      <c r="N14" s="369"/>
      <c r="O14" s="370"/>
      <c r="P14" s="371"/>
      <c r="Q14" s="370"/>
      <c r="R14" s="375"/>
      <c r="S14" s="375"/>
      <c r="T14" s="375"/>
      <c r="U14" s="386"/>
      <c r="V14" s="371"/>
      <c r="W14" s="371"/>
      <c r="X14" s="386"/>
    </row>
    <row r="15" spans="1:25" ht="10.25" customHeight="1" x14ac:dyDescent="0.15">
      <c r="A15" s="118" t="s">
        <v>95</v>
      </c>
      <c r="B15" s="111">
        <v>727</v>
      </c>
      <c r="C15" s="111">
        <v>11370</v>
      </c>
      <c r="D15" s="112">
        <v>15.6</v>
      </c>
      <c r="E15" s="111">
        <v>1229</v>
      </c>
      <c r="F15" s="111">
        <v>407</v>
      </c>
      <c r="G15" s="111">
        <v>119</v>
      </c>
      <c r="H15" s="111">
        <v>10001</v>
      </c>
      <c r="I15" s="116"/>
      <c r="J15" s="116">
        <f t="shared" si="0"/>
        <v>10.466138962181178</v>
      </c>
      <c r="K15" s="116"/>
      <c r="L15" s="117"/>
      <c r="M15" s="354" t="s">
        <v>127</v>
      </c>
      <c r="N15" s="369"/>
      <c r="O15" s="370"/>
      <c r="P15" s="371"/>
      <c r="Q15" s="370"/>
      <c r="R15" s="375"/>
      <c r="S15" s="375"/>
      <c r="T15" s="375"/>
      <c r="U15" s="386"/>
      <c r="V15" s="371"/>
      <c r="W15" s="371"/>
      <c r="X15" s="386"/>
    </row>
    <row r="16" spans="1:25" ht="10.25" customHeight="1" x14ac:dyDescent="0.15">
      <c r="A16" s="118" t="s">
        <v>96</v>
      </c>
      <c r="B16" s="111">
        <v>234</v>
      </c>
      <c r="C16" s="111">
        <v>8385</v>
      </c>
      <c r="D16" s="112">
        <v>35.799999999999997</v>
      </c>
      <c r="E16" s="111">
        <v>1058</v>
      </c>
      <c r="F16" s="111">
        <v>350</v>
      </c>
      <c r="G16" s="111">
        <v>103</v>
      </c>
      <c r="H16" s="111">
        <v>7871</v>
      </c>
      <c r="I16" s="116"/>
      <c r="J16" s="116">
        <f t="shared" si="0"/>
        <v>12.283840190816935</v>
      </c>
      <c r="K16" s="116"/>
      <c r="L16" s="117"/>
      <c r="M16" s="355" t="s">
        <v>408</v>
      </c>
      <c r="N16" s="369">
        <v>20.6</v>
      </c>
      <c r="O16" s="370">
        <v>2.56</v>
      </c>
      <c r="P16" s="371">
        <v>2334</v>
      </c>
      <c r="Q16" s="370">
        <v>2.52</v>
      </c>
      <c r="R16" s="375">
        <v>122.2</v>
      </c>
      <c r="S16" s="375">
        <v>47.7</v>
      </c>
      <c r="T16" s="375">
        <v>52.4</v>
      </c>
      <c r="U16" s="386">
        <v>47.72</v>
      </c>
      <c r="V16" s="371">
        <v>2319</v>
      </c>
      <c r="W16" s="371">
        <v>905</v>
      </c>
      <c r="X16" s="386">
        <v>0.99</v>
      </c>
    </row>
    <row r="17" spans="1:26" ht="10.25" customHeight="1" x14ac:dyDescent="0.15">
      <c r="A17" s="118" t="s">
        <v>97</v>
      </c>
      <c r="B17" s="111">
        <v>128</v>
      </c>
      <c r="C17" s="111">
        <v>9031</v>
      </c>
      <c r="D17" s="112">
        <v>70.5</v>
      </c>
      <c r="E17" s="111">
        <v>1223</v>
      </c>
      <c r="F17" s="111">
        <v>405</v>
      </c>
      <c r="G17" s="111">
        <v>119</v>
      </c>
      <c r="H17" s="111">
        <v>8717</v>
      </c>
      <c r="I17" s="116"/>
      <c r="J17" s="116">
        <f t="shared" si="0"/>
        <v>13.176835344923044</v>
      </c>
      <c r="K17" s="116"/>
      <c r="L17" s="117"/>
      <c r="M17" s="356" t="s">
        <v>410</v>
      </c>
      <c r="N17" s="369">
        <v>5.5</v>
      </c>
      <c r="O17" s="370">
        <v>2.34</v>
      </c>
      <c r="P17" s="371">
        <v>2472</v>
      </c>
      <c r="Q17" s="370">
        <v>0.71</v>
      </c>
      <c r="R17" s="375">
        <v>129.30000000000001</v>
      </c>
      <c r="S17" s="375">
        <v>55.3</v>
      </c>
      <c r="T17" s="375">
        <v>52.3</v>
      </c>
      <c r="U17" s="386">
        <v>13.27</v>
      </c>
      <c r="V17" s="371">
        <v>2428</v>
      </c>
      <c r="W17" s="371">
        <v>1038</v>
      </c>
      <c r="X17" s="386">
        <v>0.98</v>
      </c>
    </row>
    <row r="18" spans="1:26" ht="10.25" customHeight="1" x14ac:dyDescent="0.15">
      <c r="A18" s="118" t="s">
        <v>98</v>
      </c>
      <c r="B18" s="111">
        <v>65</v>
      </c>
      <c r="C18" s="111">
        <v>9018</v>
      </c>
      <c r="D18" s="112">
        <v>139</v>
      </c>
      <c r="E18" s="111">
        <v>1458</v>
      </c>
      <c r="F18" s="111">
        <v>483</v>
      </c>
      <c r="G18" s="111">
        <v>141</v>
      </c>
      <c r="H18" s="111">
        <v>9500</v>
      </c>
      <c r="I18" s="116"/>
      <c r="J18" s="116">
        <f t="shared" si="0"/>
        <v>15.635395874916833</v>
      </c>
      <c r="K18" s="116"/>
      <c r="L18" s="117"/>
      <c r="M18" s="356" t="s">
        <v>411</v>
      </c>
      <c r="N18" s="369">
        <v>15.1</v>
      </c>
      <c r="O18" s="370">
        <v>2.64</v>
      </c>
      <c r="P18" s="371">
        <v>2284</v>
      </c>
      <c r="Q18" s="370">
        <v>1.81</v>
      </c>
      <c r="R18" s="375">
        <v>119.7</v>
      </c>
      <c r="S18" s="375">
        <v>45.3</v>
      </c>
      <c r="T18" s="375">
        <v>52.4</v>
      </c>
      <c r="U18" s="386">
        <v>34.450000000000003</v>
      </c>
      <c r="V18" s="371">
        <v>2279</v>
      </c>
      <c r="W18" s="371">
        <v>862</v>
      </c>
      <c r="X18" s="386">
        <v>1</v>
      </c>
    </row>
    <row r="19" spans="1:26" ht="10.25" customHeight="1" x14ac:dyDescent="0.15">
      <c r="A19" s="118" t="s">
        <v>99</v>
      </c>
      <c r="B19" s="111">
        <v>24</v>
      </c>
      <c r="C19" s="111">
        <v>7051</v>
      </c>
      <c r="D19" s="112">
        <v>289.8</v>
      </c>
      <c r="E19" s="111">
        <v>1090</v>
      </c>
      <c r="F19" s="111">
        <v>361</v>
      </c>
      <c r="G19" s="111">
        <v>106</v>
      </c>
      <c r="H19" s="111">
        <v>7323</v>
      </c>
      <c r="I19" s="116"/>
      <c r="J19" s="116">
        <f t="shared" si="0"/>
        <v>15.033328605871507</v>
      </c>
      <c r="K19" s="116"/>
      <c r="L19" s="117"/>
      <c r="M19" s="355" t="s">
        <v>412</v>
      </c>
      <c r="N19" s="369">
        <v>25.6</v>
      </c>
      <c r="O19" s="370">
        <v>2.4700000000000002</v>
      </c>
      <c r="P19" s="371">
        <v>2421</v>
      </c>
      <c r="Q19" s="370">
        <v>2.91</v>
      </c>
      <c r="R19" s="375">
        <v>113.5</v>
      </c>
      <c r="S19" s="375">
        <v>46</v>
      </c>
      <c r="T19" s="375">
        <v>46.9</v>
      </c>
      <c r="U19" s="386">
        <v>45.73</v>
      </c>
      <c r="V19" s="371">
        <v>1786</v>
      </c>
      <c r="W19" s="371">
        <v>724</v>
      </c>
      <c r="X19" s="386">
        <v>0.74</v>
      </c>
    </row>
    <row r="20" spans="1:26" ht="10.25" customHeight="1" x14ac:dyDescent="0.15">
      <c r="A20" s="118" t="s">
        <v>100</v>
      </c>
      <c r="B20" s="111">
        <v>7</v>
      </c>
      <c r="C20" s="111">
        <v>5908</v>
      </c>
      <c r="D20" s="112">
        <v>896.1</v>
      </c>
      <c r="E20" s="111">
        <v>1157</v>
      </c>
      <c r="F20" s="111">
        <v>383</v>
      </c>
      <c r="G20" s="111">
        <v>112</v>
      </c>
      <c r="H20" s="111">
        <v>7977</v>
      </c>
      <c r="I20" s="116"/>
      <c r="J20" s="116">
        <f t="shared" si="0"/>
        <v>18.957345971563981</v>
      </c>
      <c r="K20" s="116"/>
      <c r="L20" s="117"/>
      <c r="M20" s="356" t="s">
        <v>413</v>
      </c>
      <c r="N20" s="369">
        <v>17.7</v>
      </c>
      <c r="O20" s="370">
        <v>2.4900000000000002</v>
      </c>
      <c r="P20" s="371">
        <v>2483</v>
      </c>
      <c r="Q20" s="370">
        <v>2.09</v>
      </c>
      <c r="R20" s="375">
        <v>117.7</v>
      </c>
      <c r="S20" s="375">
        <v>47.3</v>
      </c>
      <c r="T20" s="375">
        <v>47.4</v>
      </c>
      <c r="U20" s="386">
        <v>32.1</v>
      </c>
      <c r="V20" s="371">
        <v>1808</v>
      </c>
      <c r="W20" s="371">
        <v>728</v>
      </c>
      <c r="X20" s="386">
        <v>0.73</v>
      </c>
    </row>
    <row r="21" spans="1:26" ht="10.25" customHeight="1" x14ac:dyDescent="0.15">
      <c r="A21" s="114"/>
      <c r="B21" s="111"/>
      <c r="C21" s="111"/>
      <c r="D21" s="112"/>
      <c r="E21" s="111"/>
      <c r="F21" s="111"/>
      <c r="G21" s="111"/>
      <c r="H21" s="111"/>
      <c r="I21" s="116"/>
      <c r="J21" s="116">
        <f>AVERAGE(J13:J20)</f>
        <v>14.473093042749179</v>
      </c>
      <c r="K21" s="116"/>
      <c r="L21" s="117"/>
      <c r="M21" s="356" t="s">
        <v>414</v>
      </c>
      <c r="N21" s="369">
        <v>7.9</v>
      </c>
      <c r="O21" s="370">
        <v>2.4300000000000002</v>
      </c>
      <c r="P21" s="371">
        <v>2281</v>
      </c>
      <c r="Q21" s="370">
        <v>0.82</v>
      </c>
      <c r="R21" s="375">
        <v>104.1</v>
      </c>
      <c r="S21" s="375">
        <v>42.9</v>
      </c>
      <c r="T21" s="375">
        <v>45.7</v>
      </c>
      <c r="U21" s="386">
        <v>13.63</v>
      </c>
      <c r="V21" s="371">
        <v>1735</v>
      </c>
      <c r="W21" s="371">
        <v>715</v>
      </c>
      <c r="X21" s="386">
        <v>0.76</v>
      </c>
    </row>
    <row r="22" spans="1:26" ht="10.25" customHeight="1" x14ac:dyDescent="0.15">
      <c r="A22" s="115" t="s">
        <v>101</v>
      </c>
      <c r="B22" s="111"/>
      <c r="C22" s="111"/>
      <c r="D22" s="112"/>
      <c r="E22" s="111"/>
      <c r="F22" s="111"/>
      <c r="G22" s="111"/>
      <c r="H22" s="111"/>
      <c r="I22" s="116"/>
      <c r="J22" s="116"/>
      <c r="K22" s="116"/>
      <c r="L22" s="117"/>
      <c r="M22" s="355" t="s">
        <v>415</v>
      </c>
      <c r="N22" s="369">
        <v>40.700000000000003</v>
      </c>
      <c r="O22" s="370">
        <v>2.52</v>
      </c>
      <c r="P22" s="371">
        <v>2161</v>
      </c>
      <c r="Q22" s="370">
        <v>3.25</v>
      </c>
      <c r="R22" s="375">
        <v>79.8</v>
      </c>
      <c r="S22" s="375">
        <v>31.6</v>
      </c>
      <c r="T22" s="375">
        <v>37</v>
      </c>
      <c r="U22" s="386">
        <v>71.56</v>
      </c>
      <c r="V22" s="371">
        <v>1758</v>
      </c>
      <c r="W22" s="371">
        <v>696</v>
      </c>
      <c r="X22" s="386">
        <v>0.81</v>
      </c>
    </row>
    <row r="23" spans="1:26" ht="10.25" customHeight="1" x14ac:dyDescent="0.15">
      <c r="A23" s="118" t="s">
        <v>102</v>
      </c>
      <c r="B23" s="111">
        <v>384</v>
      </c>
      <c r="C23" s="111">
        <v>9871</v>
      </c>
      <c r="D23" s="112">
        <v>25.7</v>
      </c>
      <c r="E23" s="111">
        <v>1121</v>
      </c>
      <c r="F23" s="111">
        <v>371</v>
      </c>
      <c r="G23" s="111">
        <v>109</v>
      </c>
      <c r="H23" s="111">
        <v>8111</v>
      </c>
      <c r="I23" s="116"/>
      <c r="J23" s="116">
        <f>(G23*10^9)/(C23*10^6)</f>
        <v>11.042447573700739</v>
      </c>
      <c r="K23" s="116"/>
      <c r="L23" s="117"/>
      <c r="M23" s="356" t="s">
        <v>416</v>
      </c>
      <c r="N23" s="369">
        <v>21.7</v>
      </c>
      <c r="O23" s="370">
        <v>2.5</v>
      </c>
      <c r="P23" s="371">
        <v>2243</v>
      </c>
      <c r="Q23" s="370">
        <v>1.65</v>
      </c>
      <c r="R23" s="375">
        <v>76.099999999999994</v>
      </c>
      <c r="S23" s="375">
        <v>30.4</v>
      </c>
      <c r="T23" s="375">
        <v>33.9</v>
      </c>
      <c r="U23" s="386">
        <v>36.94</v>
      </c>
      <c r="V23" s="371">
        <v>1703</v>
      </c>
      <c r="W23" s="371">
        <v>680</v>
      </c>
      <c r="X23" s="386">
        <v>0.76</v>
      </c>
    </row>
    <row r="24" spans="1:26" ht="10.25" customHeight="1" x14ac:dyDescent="0.15">
      <c r="A24" s="118" t="s">
        <v>103</v>
      </c>
      <c r="B24" s="111">
        <v>221</v>
      </c>
      <c r="C24" s="111">
        <v>1237</v>
      </c>
      <c r="D24" s="112">
        <v>5.6</v>
      </c>
      <c r="E24" s="111">
        <v>629</v>
      </c>
      <c r="F24" s="111">
        <v>208</v>
      </c>
      <c r="G24" s="111">
        <v>61</v>
      </c>
      <c r="H24" s="111">
        <v>4627</v>
      </c>
      <c r="I24" s="116"/>
      <c r="J24" s="116">
        <f t="shared" ref="J24:J38" si="1">(G24*10^9)/(C24*10^6)</f>
        <v>49.312853678253838</v>
      </c>
      <c r="K24" s="116"/>
      <c r="L24" s="117"/>
      <c r="M24" s="356" t="s">
        <v>417</v>
      </c>
      <c r="N24" s="369">
        <v>6.9</v>
      </c>
      <c r="O24" s="370">
        <v>2.42</v>
      </c>
      <c r="P24" s="371">
        <v>2137</v>
      </c>
      <c r="Q24" s="370">
        <v>0.6</v>
      </c>
      <c r="R24" s="375">
        <v>87.3</v>
      </c>
      <c r="S24" s="375">
        <v>36.1</v>
      </c>
      <c r="T24" s="375">
        <v>40.9</v>
      </c>
      <c r="U24" s="386">
        <v>11.54</v>
      </c>
      <c r="V24" s="371">
        <v>1674</v>
      </c>
      <c r="W24" s="371">
        <v>692</v>
      </c>
      <c r="X24" s="386">
        <v>0.78</v>
      </c>
    </row>
    <row r="25" spans="1:26" ht="10.25" customHeight="1" x14ac:dyDescent="0.15">
      <c r="A25" s="118" t="s">
        <v>104</v>
      </c>
      <c r="B25" s="111">
        <v>297</v>
      </c>
      <c r="C25" s="111">
        <v>1654</v>
      </c>
      <c r="D25" s="112">
        <v>5.6</v>
      </c>
      <c r="E25" s="111">
        <v>654</v>
      </c>
      <c r="F25" s="111">
        <v>217</v>
      </c>
      <c r="G25" s="111">
        <v>63</v>
      </c>
      <c r="H25" s="111">
        <v>5176</v>
      </c>
      <c r="I25" s="116"/>
      <c r="J25" s="116">
        <f t="shared" si="1"/>
        <v>38.089480048367591</v>
      </c>
      <c r="K25" s="116"/>
      <c r="L25" s="117"/>
      <c r="M25" s="356" t="s">
        <v>418</v>
      </c>
      <c r="N25" s="369">
        <v>12.1</v>
      </c>
      <c r="O25" s="370">
        <v>2.62</v>
      </c>
      <c r="P25" s="371">
        <v>2028</v>
      </c>
      <c r="Q25" s="370">
        <v>1</v>
      </c>
      <c r="R25" s="375">
        <v>82.4</v>
      </c>
      <c r="S25" s="375">
        <v>31.4</v>
      </c>
      <c r="T25" s="375">
        <v>40.6</v>
      </c>
      <c r="U25" s="386">
        <v>23.07</v>
      </c>
      <c r="V25" s="371">
        <v>1903</v>
      </c>
      <c r="W25" s="371">
        <v>726</v>
      </c>
      <c r="X25" s="386">
        <v>0.94</v>
      </c>
    </row>
    <row r="26" spans="1:26" ht="10.25" customHeight="1" x14ac:dyDescent="0.15">
      <c r="A26" s="118" t="s">
        <v>105</v>
      </c>
      <c r="B26" s="111">
        <v>129</v>
      </c>
      <c r="C26" s="111">
        <v>3163</v>
      </c>
      <c r="D26" s="112">
        <v>24.6</v>
      </c>
      <c r="E26" s="111">
        <v>748</v>
      </c>
      <c r="F26" s="111">
        <v>248</v>
      </c>
      <c r="G26" s="111">
        <v>73</v>
      </c>
      <c r="H26" s="111">
        <v>4882</v>
      </c>
      <c r="I26" s="116"/>
      <c r="J26" s="116">
        <f t="shared" si="1"/>
        <v>23.079355042680998</v>
      </c>
      <c r="K26" s="116"/>
      <c r="L26" s="117"/>
      <c r="M26" s="355" t="s">
        <v>420</v>
      </c>
      <c r="N26" s="369">
        <v>24.2</v>
      </c>
      <c r="O26" s="370">
        <v>2.76</v>
      </c>
      <c r="P26" s="371">
        <v>1784</v>
      </c>
      <c r="Q26" s="370">
        <v>1.87</v>
      </c>
      <c r="R26" s="375">
        <v>77.400000000000006</v>
      </c>
      <c r="S26" s="375">
        <v>28.1</v>
      </c>
      <c r="T26" s="375">
        <v>43.4</v>
      </c>
      <c r="U26" s="386">
        <v>36.06</v>
      </c>
      <c r="V26" s="371">
        <v>1491</v>
      </c>
      <c r="W26" s="371">
        <v>541</v>
      </c>
      <c r="X26" s="386">
        <v>0.84</v>
      </c>
      <c r="Z26" s="405" t="s">
        <v>1314</v>
      </c>
    </row>
    <row r="27" spans="1:26" ht="10.25" customHeight="1" x14ac:dyDescent="0.15">
      <c r="A27" s="118" t="s">
        <v>106</v>
      </c>
      <c r="B27" s="111">
        <v>8</v>
      </c>
      <c r="C27" s="111">
        <v>1905</v>
      </c>
      <c r="D27" s="112">
        <v>241.4</v>
      </c>
      <c r="E27" s="111">
        <v>539</v>
      </c>
      <c r="F27" s="111">
        <v>178</v>
      </c>
      <c r="G27" s="111">
        <v>52</v>
      </c>
      <c r="H27" s="111">
        <v>3198</v>
      </c>
      <c r="I27" s="116"/>
      <c r="J27" s="116">
        <f t="shared" si="1"/>
        <v>27.296587926509186</v>
      </c>
      <c r="K27" s="116"/>
      <c r="L27" s="117"/>
      <c r="M27" s="395" t="s">
        <v>421</v>
      </c>
      <c r="N27" s="396">
        <v>7.6</v>
      </c>
      <c r="O27" s="397">
        <v>2.67</v>
      </c>
      <c r="P27" s="398">
        <v>1951</v>
      </c>
      <c r="Q27" s="397">
        <v>0.68</v>
      </c>
      <c r="R27" s="394">
        <v>89.8</v>
      </c>
      <c r="S27" s="394">
        <v>33.700000000000003</v>
      </c>
      <c r="T27" s="394">
        <v>46</v>
      </c>
      <c r="U27" s="403">
        <v>12.42</v>
      </c>
      <c r="V27" s="398">
        <v>1644</v>
      </c>
      <c r="W27" s="398">
        <v>617</v>
      </c>
      <c r="X27" s="403">
        <v>0.84</v>
      </c>
      <c r="Y27" s="404">
        <f>T27*10^3</f>
        <v>46000</v>
      </c>
      <c r="Z27" s="406">
        <f>Y27*0.000293</f>
        <v>13.478000000000002</v>
      </c>
    </row>
    <row r="28" spans="1:26" ht="10.25" customHeight="1" x14ac:dyDescent="0.15">
      <c r="A28" s="118" t="s">
        <v>107</v>
      </c>
      <c r="B28" s="111">
        <v>121</v>
      </c>
      <c r="C28" s="111">
        <v>1258</v>
      </c>
      <c r="D28" s="112">
        <v>10.4</v>
      </c>
      <c r="E28" s="111">
        <v>209</v>
      </c>
      <c r="F28" s="111">
        <v>69</v>
      </c>
      <c r="G28" s="111">
        <v>20</v>
      </c>
      <c r="H28" s="111">
        <v>1684</v>
      </c>
      <c r="I28" s="116"/>
      <c r="J28" s="116">
        <f t="shared" si="1"/>
        <v>15.898251192368839</v>
      </c>
      <c r="K28" s="116"/>
      <c r="L28" s="117"/>
      <c r="M28" s="356" t="s">
        <v>422</v>
      </c>
      <c r="N28" s="369">
        <v>16.600000000000001</v>
      </c>
      <c r="O28" s="370">
        <v>2.8</v>
      </c>
      <c r="P28" s="371">
        <v>1708</v>
      </c>
      <c r="Q28" s="370">
        <v>1.19</v>
      </c>
      <c r="R28" s="375">
        <v>71.8</v>
      </c>
      <c r="S28" s="375">
        <v>25.7</v>
      </c>
      <c r="T28" s="375">
        <v>42</v>
      </c>
      <c r="U28" s="386">
        <v>23.64</v>
      </c>
      <c r="V28" s="371">
        <v>1421</v>
      </c>
      <c r="W28" s="371">
        <v>508</v>
      </c>
      <c r="X28" s="386">
        <v>0.83</v>
      </c>
    </row>
    <row r="29" spans="1:26" ht="10.25" customHeight="1" x14ac:dyDescent="0.15">
      <c r="A29" s="118" t="s">
        <v>108</v>
      </c>
      <c r="B29" s="111">
        <v>142</v>
      </c>
      <c r="C29" s="111">
        <v>5096</v>
      </c>
      <c r="D29" s="112">
        <v>35.799999999999997</v>
      </c>
      <c r="E29" s="111">
        <v>709</v>
      </c>
      <c r="F29" s="111">
        <v>235</v>
      </c>
      <c r="G29" s="111">
        <v>69</v>
      </c>
      <c r="H29" s="111">
        <v>5288</v>
      </c>
      <c r="I29" s="116"/>
      <c r="J29" s="116">
        <f>(G29*10^9)/(C29*10^6)</f>
        <v>13.540031397174255</v>
      </c>
      <c r="K29" s="116"/>
      <c r="L29" s="117"/>
      <c r="M29" s="356"/>
      <c r="N29" s="369"/>
      <c r="O29" s="370"/>
      <c r="P29" s="371"/>
      <c r="Q29" s="370"/>
      <c r="R29" s="375"/>
      <c r="S29" s="375"/>
      <c r="T29" s="375"/>
      <c r="U29" s="386"/>
      <c r="V29" s="371"/>
      <c r="W29" s="371"/>
      <c r="X29" s="386"/>
    </row>
    <row r="30" spans="1:26" ht="10.25" customHeight="1" x14ac:dyDescent="0.15">
      <c r="A30" s="399" t="s">
        <v>109</v>
      </c>
      <c r="B30" s="400">
        <v>443</v>
      </c>
      <c r="C30" s="400">
        <v>4317</v>
      </c>
      <c r="D30" s="401">
        <v>9.6999999999999993</v>
      </c>
      <c r="E30" s="400">
        <v>637</v>
      </c>
      <c r="F30" s="400">
        <v>211</v>
      </c>
      <c r="G30" s="400">
        <v>62</v>
      </c>
      <c r="H30" s="400">
        <v>5132</v>
      </c>
      <c r="I30" s="402"/>
      <c r="J30" s="407">
        <f>(G30*10^9)/(C30*10^6)</f>
        <v>14.361825341672457</v>
      </c>
      <c r="K30" s="116"/>
      <c r="L30" s="117"/>
      <c r="M30" s="357" t="s">
        <v>423</v>
      </c>
      <c r="N30" s="369"/>
      <c r="O30" s="370"/>
      <c r="P30" s="371"/>
      <c r="Q30" s="370"/>
      <c r="R30" s="375"/>
      <c r="S30" s="375"/>
      <c r="T30" s="375"/>
      <c r="U30" s="386"/>
      <c r="V30" s="371"/>
      <c r="W30" s="371"/>
      <c r="X30" s="386"/>
    </row>
    <row r="31" spans="1:26" ht="10.25" customHeight="1" x14ac:dyDescent="0.15">
      <c r="A31" s="118" t="s">
        <v>110</v>
      </c>
      <c r="B31" s="111">
        <v>824</v>
      </c>
      <c r="C31" s="111">
        <v>12208</v>
      </c>
      <c r="D31" s="112">
        <v>14.8</v>
      </c>
      <c r="E31" s="111">
        <v>2170</v>
      </c>
      <c r="F31" s="111">
        <v>719</v>
      </c>
      <c r="G31" s="111">
        <v>211</v>
      </c>
      <c r="H31" s="111">
        <v>17050</v>
      </c>
      <c r="I31" s="116"/>
      <c r="J31" s="116">
        <f>(G31*10^9)/(C31*10^6)</f>
        <v>17.283748361730012</v>
      </c>
      <c r="K31" s="116"/>
      <c r="L31" s="117"/>
      <c r="M31" s="355" t="s">
        <v>424</v>
      </c>
      <c r="N31" s="369">
        <v>7.1</v>
      </c>
      <c r="O31" s="370">
        <v>2.72</v>
      </c>
      <c r="P31" s="371">
        <v>1961</v>
      </c>
      <c r="Q31" s="370">
        <v>0.84</v>
      </c>
      <c r="R31" s="375">
        <v>118.2</v>
      </c>
      <c r="S31" s="375">
        <v>43.5</v>
      </c>
      <c r="T31" s="375">
        <v>60.3</v>
      </c>
      <c r="U31" s="386">
        <v>17.14</v>
      </c>
      <c r="V31" s="371">
        <v>2409</v>
      </c>
      <c r="W31" s="371">
        <v>887</v>
      </c>
      <c r="X31" s="386">
        <v>1.23</v>
      </c>
    </row>
    <row r="32" spans="1:26" ht="10.25" customHeight="1" x14ac:dyDescent="0.15">
      <c r="A32" s="118" t="s">
        <v>111</v>
      </c>
      <c r="B32" s="111">
        <v>274</v>
      </c>
      <c r="C32" s="111">
        <v>3935</v>
      </c>
      <c r="D32" s="112">
        <v>14.4</v>
      </c>
      <c r="E32" s="111">
        <v>506</v>
      </c>
      <c r="F32" s="111">
        <v>167</v>
      </c>
      <c r="G32" s="111">
        <v>49</v>
      </c>
      <c r="H32" s="111">
        <v>3943</v>
      </c>
      <c r="I32" s="116"/>
      <c r="J32" s="116">
        <f t="shared" si="1"/>
        <v>12.452350698856417</v>
      </c>
      <c r="K32" s="116"/>
      <c r="L32" s="117"/>
      <c r="M32" s="355" t="s">
        <v>425</v>
      </c>
      <c r="N32" s="369">
        <v>7</v>
      </c>
      <c r="O32" s="370">
        <v>2.5099999999999998</v>
      </c>
      <c r="P32" s="371">
        <v>1869</v>
      </c>
      <c r="Q32" s="370">
        <v>0.42</v>
      </c>
      <c r="R32" s="375">
        <v>60</v>
      </c>
      <c r="S32" s="375">
        <v>23.9</v>
      </c>
      <c r="T32" s="375">
        <v>32.1</v>
      </c>
      <c r="U32" s="386">
        <v>11.85</v>
      </c>
      <c r="V32" s="371">
        <v>1681</v>
      </c>
      <c r="W32" s="371">
        <v>670</v>
      </c>
      <c r="X32" s="386">
        <v>0.9</v>
      </c>
    </row>
    <row r="33" spans="1:24" ht="10.25" customHeight="1" x14ac:dyDescent="0.15">
      <c r="A33" s="118" t="s">
        <v>112</v>
      </c>
      <c r="B33" s="111">
        <v>71</v>
      </c>
      <c r="C33" s="111">
        <v>1090</v>
      </c>
      <c r="D33" s="112">
        <v>15.5</v>
      </c>
      <c r="E33" s="111">
        <v>172</v>
      </c>
      <c r="F33" s="111">
        <v>57</v>
      </c>
      <c r="G33" s="111">
        <v>17</v>
      </c>
      <c r="H33" s="111">
        <v>1216</v>
      </c>
      <c r="I33" s="116"/>
      <c r="J33" s="116">
        <f t="shared" si="1"/>
        <v>15.596330275229358</v>
      </c>
      <c r="K33" s="116"/>
      <c r="L33" s="117"/>
      <c r="M33" s="355" t="s">
        <v>426</v>
      </c>
      <c r="N33" s="369">
        <v>8</v>
      </c>
      <c r="O33" s="370">
        <v>2.76</v>
      </c>
      <c r="P33" s="371">
        <v>2168</v>
      </c>
      <c r="Q33" s="370">
        <v>0.65</v>
      </c>
      <c r="R33" s="375">
        <v>81.5</v>
      </c>
      <c r="S33" s="375">
        <v>29.5</v>
      </c>
      <c r="T33" s="375">
        <v>37.6</v>
      </c>
      <c r="U33" s="386">
        <v>16.36</v>
      </c>
      <c r="V33" s="371">
        <v>2051</v>
      </c>
      <c r="W33" s="371">
        <v>743</v>
      </c>
      <c r="X33" s="386">
        <v>0.95</v>
      </c>
    </row>
    <row r="34" spans="1:24" ht="10.25" customHeight="1" x14ac:dyDescent="0.15">
      <c r="A34" s="118" t="s">
        <v>113</v>
      </c>
      <c r="B34" s="111">
        <v>370</v>
      </c>
      <c r="C34" s="111">
        <v>3754</v>
      </c>
      <c r="D34" s="112">
        <v>10.1</v>
      </c>
      <c r="E34" s="111">
        <v>188</v>
      </c>
      <c r="F34" s="111">
        <v>62</v>
      </c>
      <c r="G34" s="111">
        <v>18</v>
      </c>
      <c r="H34" s="111">
        <v>1628</v>
      </c>
      <c r="I34" s="116"/>
      <c r="J34" s="116">
        <f t="shared" si="1"/>
        <v>4.7948854555141187</v>
      </c>
      <c r="K34" s="116"/>
      <c r="L34" s="117"/>
      <c r="M34" s="355" t="s">
        <v>427</v>
      </c>
      <c r="N34" s="369">
        <v>12.1</v>
      </c>
      <c r="O34" s="370">
        <v>2.75</v>
      </c>
      <c r="P34" s="371">
        <v>1607</v>
      </c>
      <c r="Q34" s="370">
        <v>0.81</v>
      </c>
      <c r="R34" s="375">
        <v>67.099999999999994</v>
      </c>
      <c r="S34" s="375">
        <v>24.4</v>
      </c>
      <c r="T34" s="375">
        <v>41.7</v>
      </c>
      <c r="U34" s="386">
        <v>16.89</v>
      </c>
      <c r="V34" s="371">
        <v>1396</v>
      </c>
      <c r="W34" s="371">
        <v>507</v>
      </c>
      <c r="X34" s="386">
        <v>0.87</v>
      </c>
    </row>
    <row r="35" spans="1:24" ht="10.25" customHeight="1" x14ac:dyDescent="0.15">
      <c r="A35" s="118" t="s">
        <v>114</v>
      </c>
      <c r="B35" s="111">
        <v>601</v>
      </c>
      <c r="C35" s="111">
        <v>3982</v>
      </c>
      <c r="D35" s="112">
        <v>6.6</v>
      </c>
      <c r="E35" s="111">
        <v>451</v>
      </c>
      <c r="F35" s="111">
        <v>149</v>
      </c>
      <c r="G35" s="111">
        <v>44</v>
      </c>
      <c r="H35" s="111">
        <v>3485</v>
      </c>
      <c r="I35" s="116"/>
      <c r="J35" s="116">
        <f t="shared" si="1"/>
        <v>11.049723756906078</v>
      </c>
      <c r="K35" s="116"/>
      <c r="L35" s="117"/>
      <c r="M35" s="355" t="s">
        <v>428</v>
      </c>
      <c r="N35" s="369">
        <v>76.900000000000006</v>
      </c>
      <c r="O35" s="370">
        <v>2.5099999999999998</v>
      </c>
      <c r="P35" s="371">
        <v>2307</v>
      </c>
      <c r="Q35" s="370">
        <v>7.82</v>
      </c>
      <c r="R35" s="375">
        <v>101.8</v>
      </c>
      <c r="S35" s="375">
        <v>40.5</v>
      </c>
      <c r="T35" s="375">
        <v>44.1</v>
      </c>
      <c r="U35" s="386">
        <v>138.83000000000001</v>
      </c>
      <c r="V35" s="371">
        <v>1806</v>
      </c>
      <c r="W35" s="371">
        <v>719</v>
      </c>
      <c r="X35" s="386">
        <v>0.78</v>
      </c>
    </row>
    <row r="36" spans="1:24" ht="10.25" customHeight="1" x14ac:dyDescent="0.15">
      <c r="A36" s="118" t="s">
        <v>115</v>
      </c>
      <c r="B36" s="111">
        <v>464</v>
      </c>
      <c r="C36" s="111">
        <v>9425</v>
      </c>
      <c r="D36" s="112">
        <v>20.3</v>
      </c>
      <c r="E36" s="111">
        <v>738</v>
      </c>
      <c r="F36" s="111">
        <v>244</v>
      </c>
      <c r="G36" s="111">
        <v>72</v>
      </c>
      <c r="H36" s="111">
        <v>5034</v>
      </c>
      <c r="I36" s="116"/>
      <c r="J36" s="116">
        <f t="shared" si="1"/>
        <v>7.6392572944297079</v>
      </c>
      <c r="K36" s="116"/>
      <c r="L36" s="117"/>
      <c r="M36" s="356"/>
      <c r="N36" s="369"/>
      <c r="O36" s="370"/>
      <c r="P36" s="371"/>
      <c r="Q36" s="370"/>
      <c r="R36" s="375"/>
      <c r="S36" s="375"/>
      <c r="T36" s="375"/>
      <c r="U36" s="386"/>
      <c r="V36" s="371"/>
      <c r="W36" s="371"/>
      <c r="X36" s="386"/>
    </row>
    <row r="37" spans="1:24" ht="10.25" customHeight="1" x14ac:dyDescent="0.15">
      <c r="A37" s="118" t="s">
        <v>116</v>
      </c>
      <c r="B37" s="111">
        <v>76</v>
      </c>
      <c r="C37" s="111">
        <v>1729</v>
      </c>
      <c r="D37" s="112">
        <v>22.7</v>
      </c>
      <c r="E37" s="111">
        <v>401</v>
      </c>
      <c r="F37" s="111">
        <v>133</v>
      </c>
      <c r="G37" s="111">
        <v>39</v>
      </c>
      <c r="H37" s="111">
        <v>3049</v>
      </c>
      <c r="I37" s="116"/>
      <c r="J37" s="116">
        <f t="shared" si="1"/>
        <v>22.556390977443609</v>
      </c>
      <c r="K37" s="116"/>
      <c r="L37" s="117"/>
      <c r="M37" s="354" t="s">
        <v>429</v>
      </c>
      <c r="N37" s="369"/>
      <c r="O37" s="370"/>
      <c r="P37" s="371"/>
      <c r="Q37" s="370"/>
      <c r="R37" s="375"/>
      <c r="S37" s="375"/>
      <c r="T37" s="375"/>
      <c r="U37" s="386"/>
      <c r="V37" s="371"/>
      <c r="W37" s="371"/>
      <c r="X37" s="386"/>
    </row>
    <row r="38" spans="1:24" ht="10.25" customHeight="1" x14ac:dyDescent="0.15">
      <c r="A38" s="118" t="s">
        <v>117</v>
      </c>
      <c r="B38" s="111">
        <v>106</v>
      </c>
      <c r="C38" s="111">
        <v>1846</v>
      </c>
      <c r="D38" s="112">
        <v>17.3</v>
      </c>
      <c r="E38" s="111">
        <v>46</v>
      </c>
      <c r="F38" s="111">
        <v>15</v>
      </c>
      <c r="G38" s="111">
        <v>4</v>
      </c>
      <c r="H38" s="111">
        <v>412</v>
      </c>
      <c r="I38" s="116"/>
      <c r="J38" s="116">
        <f t="shared" si="1"/>
        <v>2.1668472372697725</v>
      </c>
      <c r="K38" s="116"/>
      <c r="L38" s="117"/>
      <c r="M38" s="355" t="s">
        <v>430</v>
      </c>
      <c r="N38" s="369">
        <v>47.1</v>
      </c>
      <c r="O38" s="370">
        <v>2.5299999999999998</v>
      </c>
      <c r="P38" s="371">
        <v>1781</v>
      </c>
      <c r="Q38" s="370">
        <v>4.0199999999999996</v>
      </c>
      <c r="R38" s="375">
        <v>85.3</v>
      </c>
      <c r="S38" s="375">
        <v>33.700000000000003</v>
      </c>
      <c r="T38" s="375">
        <v>47.9</v>
      </c>
      <c r="U38" s="386">
        <v>75.36</v>
      </c>
      <c r="V38" s="371">
        <v>1599</v>
      </c>
      <c r="W38" s="371">
        <v>632</v>
      </c>
      <c r="X38" s="386">
        <v>0.9</v>
      </c>
    </row>
    <row r="39" spans="1:24" ht="10.25" customHeight="1" x14ac:dyDescent="0.15">
      <c r="A39" s="114"/>
      <c r="B39" s="111"/>
      <c r="C39" s="111"/>
      <c r="D39" s="112"/>
      <c r="E39" s="111"/>
      <c r="F39" s="111"/>
      <c r="G39" s="111"/>
      <c r="H39" s="111"/>
      <c r="I39" s="116"/>
      <c r="J39" s="116">
        <f>AVERAGE(J23:J26,J29:J38)</f>
        <v>17.35468050994492</v>
      </c>
      <c r="K39" s="116"/>
      <c r="L39" s="117"/>
      <c r="M39" s="355" t="s">
        <v>431</v>
      </c>
      <c r="N39" s="369">
        <v>19</v>
      </c>
      <c r="O39" s="370">
        <v>2.58</v>
      </c>
      <c r="P39" s="371">
        <v>2167</v>
      </c>
      <c r="Q39" s="370">
        <v>1.94</v>
      </c>
      <c r="R39" s="375">
        <v>102.3</v>
      </c>
      <c r="S39" s="375">
        <v>39.700000000000003</v>
      </c>
      <c r="T39" s="375">
        <v>47.2</v>
      </c>
      <c r="U39" s="386">
        <v>35</v>
      </c>
      <c r="V39" s="371">
        <v>1845</v>
      </c>
      <c r="W39" s="371">
        <v>717</v>
      </c>
      <c r="X39" s="386">
        <v>0.85</v>
      </c>
    </row>
    <row r="40" spans="1:24" ht="10.25" customHeight="1" x14ac:dyDescent="0.15">
      <c r="A40" s="115" t="s">
        <v>118</v>
      </c>
      <c r="B40" s="111"/>
      <c r="C40" s="111"/>
      <c r="D40" s="112"/>
      <c r="E40" s="111"/>
      <c r="F40" s="111"/>
      <c r="G40" s="111"/>
      <c r="H40" s="111"/>
      <c r="I40" s="116"/>
      <c r="J40" s="116"/>
      <c r="K40" s="116"/>
      <c r="L40" s="117"/>
      <c r="M40" s="355" t="s">
        <v>432</v>
      </c>
      <c r="N40" s="369">
        <v>22.7</v>
      </c>
      <c r="O40" s="370">
        <v>2.7</v>
      </c>
      <c r="P40" s="371">
        <v>2688</v>
      </c>
      <c r="Q40" s="370">
        <v>2.46</v>
      </c>
      <c r="R40" s="375">
        <v>108.6</v>
      </c>
      <c r="S40" s="375">
        <v>40.299999999999997</v>
      </c>
      <c r="T40" s="375">
        <v>40.4</v>
      </c>
      <c r="U40" s="386">
        <v>45.93</v>
      </c>
      <c r="V40" s="371">
        <v>2027</v>
      </c>
      <c r="W40" s="371">
        <v>752</v>
      </c>
      <c r="X40" s="386">
        <v>0.75</v>
      </c>
    </row>
    <row r="41" spans="1:24" ht="10.25" customHeight="1" x14ac:dyDescent="0.15">
      <c r="A41" s="118" t="s">
        <v>119</v>
      </c>
      <c r="B41" s="111">
        <v>318</v>
      </c>
      <c r="C41" s="111">
        <v>3730</v>
      </c>
      <c r="D41" s="112">
        <v>11.7</v>
      </c>
      <c r="E41" s="111">
        <v>271</v>
      </c>
      <c r="F41" s="111">
        <v>90</v>
      </c>
      <c r="G41" s="111">
        <v>26</v>
      </c>
      <c r="H41" s="111">
        <v>2319</v>
      </c>
      <c r="I41" s="116"/>
      <c r="J41" s="116"/>
      <c r="K41" s="116"/>
      <c r="L41" s="117"/>
      <c r="M41" s="355" t="s">
        <v>433</v>
      </c>
      <c r="N41" s="369">
        <v>22.3</v>
      </c>
      <c r="O41" s="370">
        <v>2.52</v>
      </c>
      <c r="P41" s="371">
        <v>2472</v>
      </c>
      <c r="Q41" s="370">
        <v>2.13</v>
      </c>
      <c r="R41" s="375">
        <v>95.1</v>
      </c>
      <c r="S41" s="375">
        <v>37.799999999999997</v>
      </c>
      <c r="T41" s="375">
        <v>38.5</v>
      </c>
      <c r="U41" s="386">
        <v>44.78</v>
      </c>
      <c r="V41" s="371">
        <v>2004</v>
      </c>
      <c r="W41" s="371">
        <v>796</v>
      </c>
      <c r="X41" s="386">
        <v>0.81</v>
      </c>
    </row>
    <row r="42" spans="1:24" ht="10.25" customHeight="1" x14ac:dyDescent="0.15">
      <c r="A42" s="118" t="s">
        <v>120</v>
      </c>
      <c r="B42" s="111">
        <v>499</v>
      </c>
      <c r="C42" s="111">
        <v>6595</v>
      </c>
      <c r="D42" s="112">
        <v>13.2</v>
      </c>
      <c r="E42" s="111">
        <v>626</v>
      </c>
      <c r="F42" s="111">
        <v>208</v>
      </c>
      <c r="G42" s="111">
        <v>61</v>
      </c>
      <c r="H42" s="111">
        <v>5123</v>
      </c>
      <c r="I42" s="116"/>
      <c r="J42" s="116"/>
      <c r="K42" s="116"/>
      <c r="L42" s="117"/>
      <c r="M42" s="355"/>
      <c r="N42" s="369"/>
      <c r="O42" s="370"/>
      <c r="P42" s="371"/>
      <c r="Q42" s="370"/>
      <c r="R42" s="375"/>
      <c r="S42" s="375"/>
      <c r="T42" s="375"/>
      <c r="U42" s="386"/>
      <c r="V42" s="371"/>
      <c r="W42" s="371"/>
      <c r="X42" s="386"/>
    </row>
    <row r="43" spans="1:24" ht="10.25" customHeight="1" x14ac:dyDescent="0.15">
      <c r="A43" s="118" t="s">
        <v>121</v>
      </c>
      <c r="B43" s="111">
        <v>541</v>
      </c>
      <c r="C43" s="111">
        <v>6838</v>
      </c>
      <c r="D43" s="112">
        <v>12.6</v>
      </c>
      <c r="E43" s="111">
        <v>696</v>
      </c>
      <c r="F43" s="111">
        <v>231</v>
      </c>
      <c r="G43" s="111">
        <v>68</v>
      </c>
      <c r="H43" s="111">
        <v>5729</v>
      </c>
      <c r="I43" s="116"/>
      <c r="J43" s="116"/>
      <c r="K43" s="116"/>
      <c r="L43" s="117"/>
      <c r="M43" s="358" t="s">
        <v>434</v>
      </c>
      <c r="N43" s="369"/>
      <c r="O43" s="370"/>
      <c r="P43" s="371"/>
      <c r="Q43" s="370"/>
      <c r="R43" s="375"/>
      <c r="S43" s="375"/>
      <c r="T43" s="375"/>
      <c r="U43" s="387"/>
      <c r="V43" s="385"/>
      <c r="W43" s="385"/>
      <c r="X43" s="387"/>
    </row>
    <row r="44" spans="1:24" ht="10.25" customHeight="1" x14ac:dyDescent="0.15">
      <c r="A44" s="118" t="s">
        <v>122</v>
      </c>
      <c r="B44" s="111">
        <v>571</v>
      </c>
      <c r="C44" s="111">
        <v>8057</v>
      </c>
      <c r="D44" s="112">
        <v>14.1</v>
      </c>
      <c r="E44" s="111">
        <v>989</v>
      </c>
      <c r="F44" s="111">
        <v>327</v>
      </c>
      <c r="G44" s="111">
        <v>96</v>
      </c>
      <c r="H44" s="111">
        <v>7714</v>
      </c>
      <c r="I44" s="116"/>
      <c r="J44" s="116"/>
      <c r="K44" s="116"/>
      <c r="L44" s="117"/>
      <c r="M44" s="359" t="s">
        <v>435</v>
      </c>
      <c r="N44" s="369"/>
      <c r="O44" s="370"/>
      <c r="P44" s="371"/>
      <c r="Q44" s="370"/>
      <c r="R44" s="375"/>
      <c r="S44" s="375"/>
      <c r="T44" s="375"/>
      <c r="U44" s="386"/>
      <c r="V44" s="371"/>
      <c r="W44" s="371"/>
      <c r="X44" s="386"/>
    </row>
    <row r="45" spans="1:24" ht="10.25" customHeight="1" x14ac:dyDescent="0.15">
      <c r="A45" s="118" t="s">
        <v>123</v>
      </c>
      <c r="B45" s="111">
        <v>700</v>
      </c>
      <c r="C45" s="111">
        <v>10555</v>
      </c>
      <c r="D45" s="112">
        <v>15.1</v>
      </c>
      <c r="E45" s="111">
        <v>1726</v>
      </c>
      <c r="F45" s="111">
        <v>572</v>
      </c>
      <c r="G45" s="111">
        <v>168</v>
      </c>
      <c r="H45" s="111">
        <v>12637</v>
      </c>
      <c r="I45" s="116"/>
      <c r="J45" s="116"/>
      <c r="K45" s="116"/>
      <c r="L45" s="117"/>
      <c r="M45" s="356" t="s">
        <v>436</v>
      </c>
      <c r="N45" s="369">
        <v>10.9</v>
      </c>
      <c r="O45" s="370">
        <v>2.4900000000000002</v>
      </c>
      <c r="P45" s="371">
        <v>2534</v>
      </c>
      <c r="Q45" s="370">
        <v>1.29</v>
      </c>
      <c r="R45" s="375">
        <v>117.9</v>
      </c>
      <c r="S45" s="375">
        <v>47.4</v>
      </c>
      <c r="T45" s="375">
        <v>46.5</v>
      </c>
      <c r="U45" s="386">
        <v>21.67</v>
      </c>
      <c r="V45" s="371">
        <v>1982</v>
      </c>
      <c r="W45" s="371">
        <v>797</v>
      </c>
      <c r="X45" s="386">
        <v>0.78</v>
      </c>
    </row>
    <row r="46" spans="1:24" ht="10.25" customHeight="1" x14ac:dyDescent="0.15">
      <c r="A46" s="118" t="s">
        <v>124</v>
      </c>
      <c r="B46" s="111">
        <v>668</v>
      </c>
      <c r="C46" s="111">
        <v>10154</v>
      </c>
      <c r="D46" s="112">
        <v>15.2</v>
      </c>
      <c r="E46" s="111">
        <v>1892</v>
      </c>
      <c r="F46" s="111">
        <v>627</v>
      </c>
      <c r="G46" s="111">
        <v>184</v>
      </c>
      <c r="H46" s="111">
        <v>13902</v>
      </c>
      <c r="I46" s="116"/>
      <c r="J46" s="116"/>
      <c r="K46" s="116"/>
      <c r="L46" s="117"/>
      <c r="M46" s="356" t="s">
        <v>437</v>
      </c>
      <c r="N46" s="369">
        <v>26.1</v>
      </c>
      <c r="O46" s="370">
        <v>2.5</v>
      </c>
      <c r="P46" s="371">
        <v>2346</v>
      </c>
      <c r="Q46" s="370">
        <v>3</v>
      </c>
      <c r="R46" s="375">
        <v>115</v>
      </c>
      <c r="S46" s="375">
        <v>45.9</v>
      </c>
      <c r="T46" s="375">
        <v>49</v>
      </c>
      <c r="U46" s="386">
        <v>49.37</v>
      </c>
      <c r="V46" s="371">
        <v>1894</v>
      </c>
      <c r="W46" s="371">
        <v>756</v>
      </c>
      <c r="X46" s="386">
        <v>0.81</v>
      </c>
    </row>
    <row r="47" spans="1:24" ht="10.25" customHeight="1" x14ac:dyDescent="0.15">
      <c r="A47" s="118" t="s">
        <v>125</v>
      </c>
      <c r="B47" s="111">
        <v>809</v>
      </c>
      <c r="C47" s="111">
        <v>12078</v>
      </c>
      <c r="D47" s="112">
        <v>14.9</v>
      </c>
      <c r="E47" s="111">
        <v>2082</v>
      </c>
      <c r="F47" s="111">
        <v>690</v>
      </c>
      <c r="G47" s="111">
        <v>202</v>
      </c>
      <c r="H47" s="111">
        <v>15236</v>
      </c>
      <c r="I47" s="116"/>
      <c r="J47" s="116"/>
      <c r="K47" s="116"/>
      <c r="L47" s="117"/>
      <c r="M47" s="356" t="s">
        <v>438</v>
      </c>
      <c r="N47" s="369">
        <v>27.3</v>
      </c>
      <c r="O47" s="370">
        <v>2.6</v>
      </c>
      <c r="P47" s="371">
        <v>2205</v>
      </c>
      <c r="Q47" s="370">
        <v>2.78</v>
      </c>
      <c r="R47" s="375">
        <v>101.7</v>
      </c>
      <c r="S47" s="375">
        <v>39.1</v>
      </c>
      <c r="T47" s="375">
        <v>46.1</v>
      </c>
      <c r="U47" s="386">
        <v>50.74</v>
      </c>
      <c r="V47" s="371">
        <v>1859</v>
      </c>
      <c r="W47" s="371">
        <v>715</v>
      </c>
      <c r="X47" s="386">
        <v>0.84</v>
      </c>
    </row>
    <row r="48" spans="1:24" ht="10.25" customHeight="1" x14ac:dyDescent="0.15">
      <c r="A48" s="118" t="s">
        <v>126</v>
      </c>
      <c r="B48" s="111">
        <v>298</v>
      </c>
      <c r="C48" s="111">
        <v>5299</v>
      </c>
      <c r="D48" s="112">
        <v>17.8</v>
      </c>
      <c r="E48" s="111">
        <v>884</v>
      </c>
      <c r="F48" s="111">
        <v>293</v>
      </c>
      <c r="G48" s="111">
        <v>86</v>
      </c>
      <c r="H48" s="111">
        <v>6373</v>
      </c>
      <c r="I48" s="116"/>
      <c r="J48" s="116"/>
      <c r="K48" s="116"/>
      <c r="L48" s="117"/>
      <c r="M48" s="356" t="s">
        <v>439</v>
      </c>
      <c r="N48" s="369">
        <v>24</v>
      </c>
      <c r="O48" s="370">
        <v>2.61</v>
      </c>
      <c r="P48" s="371">
        <v>1966</v>
      </c>
      <c r="Q48" s="370">
        <v>1.83</v>
      </c>
      <c r="R48" s="375">
        <v>76.400000000000006</v>
      </c>
      <c r="S48" s="375">
        <v>29.2</v>
      </c>
      <c r="T48" s="375">
        <v>38.799999999999997</v>
      </c>
      <c r="U48" s="386">
        <v>38.049999999999997</v>
      </c>
      <c r="V48" s="371">
        <v>1587</v>
      </c>
      <c r="W48" s="371">
        <v>607</v>
      </c>
      <c r="X48" s="386">
        <v>0.81</v>
      </c>
    </row>
    <row r="49" spans="1:24" ht="10.25" customHeight="1" x14ac:dyDescent="0.15">
      <c r="A49" s="114"/>
      <c r="B49" s="111"/>
      <c r="C49" s="111"/>
      <c r="D49" s="112"/>
      <c r="E49" s="111"/>
      <c r="F49" s="111"/>
      <c r="G49" s="111"/>
      <c r="H49" s="111"/>
      <c r="I49" s="116"/>
      <c r="J49" s="116"/>
      <c r="K49" s="116"/>
      <c r="L49" s="117"/>
      <c r="M49" s="360" t="s">
        <v>440</v>
      </c>
      <c r="N49" s="369"/>
      <c r="O49" s="370"/>
      <c r="P49" s="371"/>
      <c r="Q49" s="370"/>
      <c r="R49" s="375"/>
      <c r="S49" s="375"/>
      <c r="T49" s="375"/>
      <c r="U49" s="386"/>
      <c r="V49" s="371"/>
      <c r="W49" s="371"/>
      <c r="X49" s="386"/>
    </row>
    <row r="50" spans="1:24" ht="10.25" customHeight="1" x14ac:dyDescent="0.15">
      <c r="A50" s="115" t="s">
        <v>127</v>
      </c>
      <c r="B50" s="111"/>
      <c r="C50" s="111"/>
      <c r="D50" s="112"/>
      <c r="E50" s="111"/>
      <c r="F50" s="111"/>
      <c r="G50" s="111"/>
      <c r="H50" s="111"/>
      <c r="I50" s="116"/>
      <c r="J50" s="116"/>
      <c r="K50" s="116"/>
      <c r="L50" s="117"/>
      <c r="M50" s="356" t="s">
        <v>441</v>
      </c>
      <c r="N50" s="369">
        <v>22.8</v>
      </c>
      <c r="O50" s="370">
        <v>2.6</v>
      </c>
      <c r="P50" s="371">
        <v>1971</v>
      </c>
      <c r="Q50" s="370">
        <v>1.65</v>
      </c>
      <c r="R50" s="375">
        <v>72.400000000000006</v>
      </c>
      <c r="S50" s="375">
        <v>27.9</v>
      </c>
      <c r="T50" s="375">
        <v>36.700000000000003</v>
      </c>
      <c r="U50" s="386">
        <v>41.23</v>
      </c>
      <c r="V50" s="371">
        <v>1808</v>
      </c>
      <c r="W50" s="371">
        <v>696</v>
      </c>
      <c r="X50" s="386">
        <v>0.92</v>
      </c>
    </row>
    <row r="51" spans="1:24" ht="10.25" customHeight="1" x14ac:dyDescent="0.15">
      <c r="A51" s="118" t="s">
        <v>128</v>
      </c>
      <c r="B51" s="111">
        <v>710</v>
      </c>
      <c r="C51" s="111">
        <v>12809</v>
      </c>
      <c r="D51" s="112">
        <v>18</v>
      </c>
      <c r="E51" s="111">
        <v>1519</v>
      </c>
      <c r="F51" s="111">
        <v>503</v>
      </c>
      <c r="G51" s="111">
        <v>147</v>
      </c>
      <c r="H51" s="111">
        <v>14262</v>
      </c>
      <c r="I51" s="116"/>
      <c r="J51" s="116"/>
      <c r="K51" s="116"/>
      <c r="L51" s="117"/>
      <c r="M51" s="361"/>
      <c r="N51" s="369"/>
      <c r="O51" s="370"/>
      <c r="P51" s="371"/>
      <c r="Q51" s="370"/>
      <c r="R51" s="375"/>
      <c r="S51" s="375"/>
      <c r="T51" s="375"/>
      <c r="U51" s="386"/>
      <c r="V51" s="371"/>
      <c r="W51" s="371"/>
      <c r="X51" s="386"/>
    </row>
    <row r="52" spans="1:24" ht="10.25" customHeight="1" x14ac:dyDescent="0.15">
      <c r="A52" s="118" t="s">
        <v>129</v>
      </c>
      <c r="B52" s="111">
        <v>228</v>
      </c>
      <c r="C52" s="111">
        <v>2942</v>
      </c>
      <c r="D52" s="112">
        <v>12.9</v>
      </c>
      <c r="E52" s="111">
        <v>326</v>
      </c>
      <c r="F52" s="111">
        <v>108</v>
      </c>
      <c r="G52" s="111">
        <v>32</v>
      </c>
      <c r="H52" s="111">
        <v>3125</v>
      </c>
      <c r="I52" s="116"/>
      <c r="J52" s="116"/>
      <c r="K52" s="116"/>
      <c r="L52" s="117"/>
      <c r="M52" s="357" t="s">
        <v>1291</v>
      </c>
      <c r="N52" s="369"/>
      <c r="O52" s="370"/>
      <c r="P52" s="371"/>
      <c r="Q52" s="370"/>
      <c r="R52" s="375"/>
      <c r="S52" s="375"/>
      <c r="T52" s="375"/>
      <c r="U52" s="386"/>
      <c r="V52" s="371"/>
      <c r="W52" s="371"/>
      <c r="X52" s="386"/>
    </row>
    <row r="53" spans="1:24" ht="10.25" customHeight="1" x14ac:dyDescent="0.15">
      <c r="A53" s="118" t="s">
        <v>130</v>
      </c>
      <c r="B53" s="111">
        <v>482</v>
      </c>
      <c r="C53" s="111">
        <v>9867</v>
      </c>
      <c r="D53" s="112">
        <v>20.5</v>
      </c>
      <c r="E53" s="111">
        <v>1192</v>
      </c>
      <c r="F53" s="111">
        <v>395</v>
      </c>
      <c r="G53" s="111">
        <v>116</v>
      </c>
      <c r="H53" s="111">
        <v>11137</v>
      </c>
      <c r="I53" s="116"/>
      <c r="J53" s="116"/>
      <c r="K53" s="116"/>
      <c r="L53" s="117"/>
      <c r="M53" s="357" t="s">
        <v>1292</v>
      </c>
      <c r="N53" s="369"/>
      <c r="O53" s="370"/>
      <c r="P53" s="371"/>
      <c r="Q53" s="370"/>
      <c r="R53" s="375"/>
      <c r="S53" s="375"/>
      <c r="T53" s="375"/>
      <c r="U53" s="386"/>
      <c r="V53" s="371"/>
      <c r="W53" s="371"/>
      <c r="X53" s="386"/>
    </row>
    <row r="54" spans="1:24" ht="10.25" customHeight="1" x14ac:dyDescent="0.15">
      <c r="A54" s="118" t="s">
        <v>131</v>
      </c>
      <c r="B54" s="111">
        <v>1189</v>
      </c>
      <c r="C54" s="111">
        <v>16701</v>
      </c>
      <c r="D54" s="112">
        <v>14</v>
      </c>
      <c r="E54" s="111">
        <v>2224</v>
      </c>
      <c r="F54" s="111">
        <v>737</v>
      </c>
      <c r="G54" s="111">
        <v>216</v>
      </c>
      <c r="H54" s="111">
        <v>14172</v>
      </c>
      <c r="I54" s="116"/>
      <c r="J54" s="116"/>
      <c r="K54" s="116"/>
      <c r="L54" s="117"/>
      <c r="M54" s="365" t="s">
        <v>1293</v>
      </c>
      <c r="N54" s="369"/>
      <c r="O54" s="370"/>
      <c r="P54" s="371"/>
      <c r="Q54" s="370"/>
      <c r="R54" s="375"/>
      <c r="S54" s="375"/>
      <c r="T54" s="375"/>
      <c r="U54" s="386"/>
      <c r="V54" s="371"/>
      <c r="W54" s="371"/>
      <c r="X54" s="386"/>
    </row>
    <row r="55" spans="1:24" ht="10.25" customHeight="1" x14ac:dyDescent="0.15">
      <c r="A55" s="118" t="s">
        <v>132</v>
      </c>
      <c r="B55" s="111">
        <v>659</v>
      </c>
      <c r="C55" s="111">
        <v>11373</v>
      </c>
      <c r="D55" s="112">
        <v>17.3</v>
      </c>
      <c r="E55" s="111">
        <v>1580</v>
      </c>
      <c r="F55" s="111">
        <v>524</v>
      </c>
      <c r="G55" s="111">
        <v>153</v>
      </c>
      <c r="H55" s="111">
        <v>10220</v>
      </c>
      <c r="I55" s="116"/>
      <c r="J55" s="116"/>
      <c r="K55" s="116"/>
      <c r="L55" s="117"/>
      <c r="M55" s="366" t="s">
        <v>1294</v>
      </c>
      <c r="N55" s="369">
        <v>72.099999999999994</v>
      </c>
      <c r="O55" s="370">
        <v>2.73</v>
      </c>
      <c r="P55" s="371">
        <v>2720</v>
      </c>
      <c r="Q55" s="370">
        <v>7.81</v>
      </c>
      <c r="R55" s="375">
        <v>108.4</v>
      </c>
      <c r="S55" s="375">
        <v>39.700000000000003</v>
      </c>
      <c r="T55" s="375">
        <v>39.799999999999997</v>
      </c>
      <c r="U55" s="386">
        <v>148.41999999999999</v>
      </c>
      <c r="V55" s="371">
        <v>2060</v>
      </c>
      <c r="W55" s="371">
        <v>755</v>
      </c>
      <c r="X55" s="386">
        <v>0.76</v>
      </c>
    </row>
    <row r="56" spans="1:24" ht="10.25" customHeight="1" x14ac:dyDescent="0.15">
      <c r="A56" s="118" t="s">
        <v>133</v>
      </c>
      <c r="B56" s="111">
        <v>531</v>
      </c>
      <c r="C56" s="111">
        <v>5328</v>
      </c>
      <c r="D56" s="112">
        <v>10</v>
      </c>
      <c r="E56" s="111">
        <v>643</v>
      </c>
      <c r="F56" s="111">
        <v>213</v>
      </c>
      <c r="G56" s="111">
        <v>62</v>
      </c>
      <c r="H56" s="111">
        <v>3952</v>
      </c>
      <c r="I56" s="116"/>
      <c r="J56" s="116"/>
      <c r="K56" s="116"/>
      <c r="L56" s="117"/>
      <c r="M56" s="367" t="s">
        <v>1295</v>
      </c>
      <c r="N56" s="369">
        <v>12.3</v>
      </c>
      <c r="O56" s="370">
        <v>2.06</v>
      </c>
      <c r="P56" s="371">
        <v>1917</v>
      </c>
      <c r="Q56" s="370">
        <v>1.0900000000000001</v>
      </c>
      <c r="R56" s="375">
        <v>89</v>
      </c>
      <c r="S56" s="375">
        <v>43.3</v>
      </c>
      <c r="T56" s="375">
        <v>46.4</v>
      </c>
      <c r="U56" s="386">
        <v>20.5</v>
      </c>
      <c r="V56" s="371">
        <v>1671</v>
      </c>
      <c r="W56" s="371">
        <v>812</v>
      </c>
      <c r="X56" s="386">
        <v>0.87</v>
      </c>
    </row>
    <row r="57" spans="1:24" ht="10.25" customHeight="1" x14ac:dyDescent="0.15">
      <c r="A57" s="118" t="s">
        <v>134</v>
      </c>
      <c r="B57" s="111">
        <v>1654</v>
      </c>
      <c r="C57" s="111">
        <v>22766</v>
      </c>
      <c r="D57" s="112">
        <v>13.8</v>
      </c>
      <c r="E57" s="111">
        <v>3858</v>
      </c>
      <c r="F57" s="111">
        <v>1278</v>
      </c>
      <c r="G57" s="111">
        <v>375</v>
      </c>
      <c r="H57" s="111">
        <v>25540</v>
      </c>
      <c r="I57" s="116"/>
      <c r="J57" s="116"/>
      <c r="K57" s="116"/>
      <c r="L57" s="117"/>
      <c r="M57" s="367" t="s">
        <v>1296</v>
      </c>
      <c r="N57" s="369">
        <v>38.799999999999997</v>
      </c>
      <c r="O57" s="370">
        <v>2.65</v>
      </c>
      <c r="P57" s="371">
        <v>2568</v>
      </c>
      <c r="Q57" s="370">
        <v>3.91</v>
      </c>
      <c r="R57" s="375">
        <v>100.9</v>
      </c>
      <c r="S57" s="375">
        <v>38.1</v>
      </c>
      <c r="T57" s="375">
        <v>39.299999999999997</v>
      </c>
      <c r="U57" s="386">
        <v>74.63</v>
      </c>
      <c r="V57" s="371">
        <v>1924</v>
      </c>
      <c r="W57" s="371">
        <v>727</v>
      </c>
      <c r="X57" s="386">
        <v>0.75</v>
      </c>
    </row>
    <row r="58" spans="1:24" ht="10.25" customHeight="1" x14ac:dyDescent="0.15">
      <c r="A58" s="118" t="s">
        <v>135</v>
      </c>
      <c r="B58" s="111">
        <v>835</v>
      </c>
      <c r="C58" s="111">
        <v>12097</v>
      </c>
      <c r="D58" s="112">
        <v>14.5</v>
      </c>
      <c r="E58" s="111">
        <v>2166</v>
      </c>
      <c r="F58" s="111">
        <v>717</v>
      </c>
      <c r="G58" s="111">
        <v>210</v>
      </c>
      <c r="H58" s="111">
        <v>14155</v>
      </c>
      <c r="I58" s="116"/>
      <c r="J58" s="116"/>
      <c r="K58" s="116"/>
      <c r="L58" s="117"/>
      <c r="M58" s="367" t="s">
        <v>1297</v>
      </c>
      <c r="N58" s="369">
        <v>17.100000000000001</v>
      </c>
      <c r="O58" s="370">
        <v>3.14</v>
      </c>
      <c r="P58" s="371">
        <v>3370</v>
      </c>
      <c r="Q58" s="370">
        <v>2.1800000000000002</v>
      </c>
      <c r="R58" s="375">
        <v>127.5</v>
      </c>
      <c r="S58" s="375">
        <v>40.6</v>
      </c>
      <c r="T58" s="375">
        <v>37.799999999999997</v>
      </c>
      <c r="U58" s="386">
        <v>41.47</v>
      </c>
      <c r="V58" s="371">
        <v>2424</v>
      </c>
      <c r="W58" s="371">
        <v>771</v>
      </c>
      <c r="X58" s="386">
        <v>0.72</v>
      </c>
    </row>
    <row r="59" spans="1:24" ht="10.25" customHeight="1" x14ac:dyDescent="0.15">
      <c r="A59" s="118" t="s">
        <v>136</v>
      </c>
      <c r="B59" s="111">
        <v>312</v>
      </c>
      <c r="C59" s="111">
        <v>3220</v>
      </c>
      <c r="D59" s="112">
        <v>10.3</v>
      </c>
      <c r="E59" s="111">
        <v>515</v>
      </c>
      <c r="F59" s="111">
        <v>171</v>
      </c>
      <c r="G59" s="111">
        <v>50</v>
      </c>
      <c r="H59" s="111">
        <v>3348</v>
      </c>
      <c r="I59" s="116"/>
      <c r="J59" s="116"/>
      <c r="K59" s="116"/>
      <c r="L59" s="117"/>
      <c r="M59" s="367" t="s">
        <v>1298</v>
      </c>
      <c r="N59" s="369">
        <v>3.9</v>
      </c>
      <c r="O59" s="370">
        <v>3.81</v>
      </c>
      <c r="P59" s="371">
        <v>3920</v>
      </c>
      <c r="Q59" s="370">
        <v>0.62</v>
      </c>
      <c r="R59" s="375">
        <v>160.19999999999999</v>
      </c>
      <c r="S59" s="375">
        <v>42.1</v>
      </c>
      <c r="T59" s="375">
        <v>40.9</v>
      </c>
      <c r="U59" s="386">
        <v>11.82</v>
      </c>
      <c r="V59" s="371">
        <v>3043</v>
      </c>
      <c r="W59" s="371">
        <v>799</v>
      </c>
      <c r="X59" s="386">
        <v>0.78</v>
      </c>
    </row>
    <row r="60" spans="1:24" ht="10.25" customHeight="1" x14ac:dyDescent="0.15">
      <c r="A60" s="118" t="s">
        <v>137</v>
      </c>
      <c r="B60" s="111">
        <v>507</v>
      </c>
      <c r="C60" s="111">
        <v>7449</v>
      </c>
      <c r="D60" s="112">
        <v>14.7</v>
      </c>
      <c r="E60" s="111">
        <v>1177</v>
      </c>
      <c r="F60" s="111">
        <v>390</v>
      </c>
      <c r="G60" s="111">
        <v>114</v>
      </c>
      <c r="H60" s="111">
        <v>8037</v>
      </c>
      <c r="I60" s="116"/>
      <c r="J60" s="116"/>
      <c r="K60" s="116"/>
      <c r="L60" s="117"/>
      <c r="M60" s="366" t="s">
        <v>1299</v>
      </c>
      <c r="N60" s="369">
        <v>7.6</v>
      </c>
      <c r="O60" s="370">
        <v>2.48</v>
      </c>
      <c r="P60" s="371">
        <v>1941</v>
      </c>
      <c r="Q60" s="370">
        <v>0.68</v>
      </c>
      <c r="R60" s="375">
        <v>89.3</v>
      </c>
      <c r="S60" s="375">
        <v>36.1</v>
      </c>
      <c r="T60" s="375">
        <v>46</v>
      </c>
      <c r="U60" s="386">
        <v>12.14</v>
      </c>
      <c r="V60" s="371">
        <v>1598</v>
      </c>
      <c r="W60" s="371">
        <v>645</v>
      </c>
      <c r="X60" s="386">
        <v>0.82</v>
      </c>
    </row>
    <row r="61" spans="1:24" ht="10.25" customHeight="1" x14ac:dyDescent="0.15">
      <c r="A61" s="118" t="s">
        <v>138</v>
      </c>
      <c r="B61" s="111">
        <v>851</v>
      </c>
      <c r="C61" s="111">
        <v>11030</v>
      </c>
      <c r="D61" s="112">
        <v>13</v>
      </c>
      <c r="E61" s="111">
        <v>1568</v>
      </c>
      <c r="F61" s="111">
        <v>519</v>
      </c>
      <c r="G61" s="111">
        <v>152</v>
      </c>
      <c r="H61" s="111">
        <v>15057</v>
      </c>
      <c r="I61" s="116"/>
      <c r="J61" s="116"/>
      <c r="K61" s="116"/>
      <c r="L61" s="117"/>
      <c r="M61" s="367" t="s">
        <v>1295</v>
      </c>
      <c r="N61" s="369">
        <v>3.5</v>
      </c>
      <c r="O61" s="370">
        <v>2.0299999999999998</v>
      </c>
      <c r="P61" s="371">
        <v>1414</v>
      </c>
      <c r="Q61" s="370">
        <v>0.26</v>
      </c>
      <c r="R61" s="375">
        <v>74.099999999999994</v>
      </c>
      <c r="S61" s="375">
        <v>36.5</v>
      </c>
      <c r="T61" s="375">
        <v>52.4</v>
      </c>
      <c r="U61" s="386">
        <v>4.62</v>
      </c>
      <c r="V61" s="371">
        <v>1320</v>
      </c>
      <c r="W61" s="371">
        <v>650</v>
      </c>
      <c r="X61" s="386">
        <v>0.93</v>
      </c>
    </row>
    <row r="62" spans="1:24" ht="10.25" customHeight="1" x14ac:dyDescent="0.15">
      <c r="A62" s="118" t="s">
        <v>139</v>
      </c>
      <c r="B62" s="111">
        <v>285</v>
      </c>
      <c r="C62" s="111">
        <v>3633</v>
      </c>
      <c r="D62" s="112">
        <v>12.7</v>
      </c>
      <c r="E62" s="111">
        <v>576</v>
      </c>
      <c r="F62" s="111">
        <v>191</v>
      </c>
      <c r="G62" s="111">
        <v>56</v>
      </c>
      <c r="H62" s="111">
        <v>4272</v>
      </c>
      <c r="I62" s="116"/>
      <c r="J62" s="116"/>
      <c r="K62" s="116"/>
      <c r="L62" s="117"/>
      <c r="M62" s="367" t="s">
        <v>1296</v>
      </c>
      <c r="N62" s="369">
        <v>3.2</v>
      </c>
      <c r="O62" s="370">
        <v>2.67</v>
      </c>
      <c r="P62" s="371">
        <v>2124</v>
      </c>
      <c r="Q62" s="370">
        <v>0.31</v>
      </c>
      <c r="R62" s="375">
        <v>96.3</v>
      </c>
      <c r="S62" s="375">
        <v>36.1</v>
      </c>
      <c r="T62" s="375">
        <v>45.3</v>
      </c>
      <c r="U62" s="386">
        <v>5.56</v>
      </c>
      <c r="V62" s="371">
        <v>1753</v>
      </c>
      <c r="W62" s="371">
        <v>657</v>
      </c>
      <c r="X62" s="386">
        <v>0.83</v>
      </c>
    </row>
    <row r="63" spans="1:24" ht="10.25" customHeight="1" x14ac:dyDescent="0.15">
      <c r="A63" s="118" t="s">
        <v>140</v>
      </c>
      <c r="B63" s="111">
        <v>565</v>
      </c>
      <c r="C63" s="111">
        <v>7397</v>
      </c>
      <c r="D63" s="112">
        <v>13.1</v>
      </c>
      <c r="E63" s="111">
        <v>992</v>
      </c>
      <c r="F63" s="111">
        <v>329</v>
      </c>
      <c r="G63" s="111">
        <v>96</v>
      </c>
      <c r="H63" s="111">
        <v>10786</v>
      </c>
      <c r="I63" s="116"/>
      <c r="J63" s="116"/>
      <c r="K63" s="116"/>
      <c r="L63" s="117"/>
      <c r="M63" s="367" t="s">
        <v>1300</v>
      </c>
      <c r="N63" s="369">
        <v>0.9</v>
      </c>
      <c r="O63" s="370">
        <v>3.53</v>
      </c>
      <c r="P63" s="371">
        <v>3307</v>
      </c>
      <c r="Q63" s="370">
        <v>0.11</v>
      </c>
      <c r="R63" s="375">
        <v>123.1</v>
      </c>
      <c r="S63" s="375">
        <v>34.9</v>
      </c>
      <c r="T63" s="375">
        <v>37.200000000000003</v>
      </c>
      <c r="U63" s="386">
        <v>1.95</v>
      </c>
      <c r="V63" s="371">
        <v>2116</v>
      </c>
      <c r="W63" s="371">
        <v>600</v>
      </c>
      <c r="X63" s="386">
        <v>0.64</v>
      </c>
    </row>
    <row r="64" spans="1:24" ht="10.25" customHeight="1" x14ac:dyDescent="0.15">
      <c r="A64" s="114"/>
      <c r="B64" s="111"/>
      <c r="C64" s="111"/>
      <c r="D64" s="112"/>
      <c r="E64" s="111"/>
      <c r="F64" s="111"/>
      <c r="G64" s="111"/>
      <c r="H64" s="111"/>
      <c r="I64" s="116"/>
      <c r="J64" s="116"/>
      <c r="K64" s="116"/>
      <c r="L64" s="117"/>
      <c r="M64" s="365" t="s">
        <v>1301</v>
      </c>
      <c r="N64" s="369"/>
      <c r="O64" s="370"/>
      <c r="P64" s="371"/>
      <c r="Q64" s="370"/>
      <c r="R64" s="375"/>
      <c r="S64" s="375"/>
      <c r="T64" s="375"/>
      <c r="U64" s="386"/>
      <c r="V64" s="371"/>
      <c r="W64" s="371"/>
      <c r="X64" s="386"/>
    </row>
    <row r="65" spans="1:24" ht="10.25" customHeight="1" x14ac:dyDescent="0.15">
      <c r="A65" s="115" t="s">
        <v>141</v>
      </c>
      <c r="B65" s="111"/>
      <c r="C65" s="111"/>
      <c r="D65" s="112"/>
      <c r="E65" s="111"/>
      <c r="F65" s="111"/>
      <c r="G65" s="111"/>
      <c r="H65" s="111"/>
      <c r="I65" s="116"/>
      <c r="J65" s="116"/>
      <c r="K65" s="116"/>
      <c r="L65" s="117"/>
      <c r="M65" s="366" t="s">
        <v>1302</v>
      </c>
      <c r="N65" s="369">
        <v>7.8</v>
      </c>
      <c r="O65" s="370">
        <v>2.42</v>
      </c>
      <c r="P65" s="371">
        <v>1090</v>
      </c>
      <c r="Q65" s="370">
        <v>0.66</v>
      </c>
      <c r="R65" s="375">
        <v>85</v>
      </c>
      <c r="S65" s="375">
        <v>35.1</v>
      </c>
      <c r="T65" s="375">
        <v>78</v>
      </c>
      <c r="U65" s="386">
        <v>12.06</v>
      </c>
      <c r="V65" s="371">
        <v>1556</v>
      </c>
      <c r="W65" s="371">
        <v>643</v>
      </c>
      <c r="X65" s="386">
        <v>1.43</v>
      </c>
    </row>
    <row r="66" spans="1:24" ht="10.25" customHeight="1" x14ac:dyDescent="0.15">
      <c r="A66" s="114" t="s">
        <v>142</v>
      </c>
      <c r="B66" s="111"/>
      <c r="C66" s="111"/>
      <c r="D66" s="112"/>
      <c r="E66" s="111"/>
      <c r="F66" s="111"/>
      <c r="G66" s="111"/>
      <c r="H66" s="111"/>
      <c r="I66" s="116"/>
      <c r="J66" s="116"/>
      <c r="K66" s="116"/>
      <c r="L66" s="117"/>
      <c r="M66" s="367" t="s">
        <v>1303</v>
      </c>
      <c r="N66" s="369">
        <v>2</v>
      </c>
      <c r="O66" s="370">
        <v>1.71</v>
      </c>
      <c r="P66" s="371">
        <v>809</v>
      </c>
      <c r="Q66" s="370">
        <v>0.16</v>
      </c>
      <c r="R66" s="375">
        <v>79.099999999999994</v>
      </c>
      <c r="S66" s="375">
        <v>46.3</v>
      </c>
      <c r="T66" s="375">
        <v>97.8</v>
      </c>
      <c r="U66" s="386">
        <v>2.65</v>
      </c>
      <c r="V66" s="371">
        <v>1346</v>
      </c>
      <c r="W66" s="371">
        <v>788</v>
      </c>
      <c r="X66" s="386">
        <v>1.66</v>
      </c>
    </row>
    <row r="67" spans="1:24" ht="10.25" customHeight="1" x14ac:dyDescent="0.15">
      <c r="A67" s="118" t="s">
        <v>143</v>
      </c>
      <c r="B67" s="111">
        <v>809</v>
      </c>
      <c r="C67" s="111">
        <v>10393</v>
      </c>
      <c r="D67" s="112">
        <v>12.8</v>
      </c>
      <c r="E67" s="111">
        <v>1232</v>
      </c>
      <c r="F67" s="111">
        <v>408</v>
      </c>
      <c r="G67" s="111">
        <v>120</v>
      </c>
      <c r="H67" s="111">
        <v>9135</v>
      </c>
      <c r="I67" s="116"/>
      <c r="J67" s="116"/>
      <c r="K67" s="116"/>
      <c r="L67" s="117"/>
      <c r="M67" s="367" t="s">
        <v>1304</v>
      </c>
      <c r="N67" s="369">
        <v>4.3</v>
      </c>
      <c r="O67" s="370">
        <v>2.4500000000000002</v>
      </c>
      <c r="P67" s="371">
        <v>1092</v>
      </c>
      <c r="Q67" s="370">
        <v>0.32</v>
      </c>
      <c r="R67" s="375">
        <v>74.7</v>
      </c>
      <c r="S67" s="375">
        <v>30.5</v>
      </c>
      <c r="T67" s="375">
        <v>68.400000000000006</v>
      </c>
      <c r="U67" s="386">
        <v>5.96</v>
      </c>
      <c r="V67" s="371">
        <v>1383</v>
      </c>
      <c r="W67" s="371">
        <v>565</v>
      </c>
      <c r="X67" s="386">
        <v>1.27</v>
      </c>
    </row>
    <row r="68" spans="1:24" ht="10.25" customHeight="1" x14ac:dyDescent="0.15">
      <c r="A68" s="118" t="s">
        <v>144</v>
      </c>
      <c r="B68" s="111">
        <v>1129</v>
      </c>
      <c r="C68" s="111">
        <v>17076</v>
      </c>
      <c r="D68" s="112">
        <v>15.1</v>
      </c>
      <c r="E68" s="111">
        <v>2305</v>
      </c>
      <c r="F68" s="111">
        <v>763</v>
      </c>
      <c r="G68" s="111">
        <v>224</v>
      </c>
      <c r="H68" s="111">
        <v>16298</v>
      </c>
      <c r="I68" s="116"/>
      <c r="J68" s="116"/>
      <c r="K68" s="116"/>
      <c r="L68" s="117"/>
      <c r="M68" s="367" t="s">
        <v>1305</v>
      </c>
      <c r="N68" s="369">
        <v>1.5</v>
      </c>
      <c r="O68" s="370">
        <v>3.29</v>
      </c>
      <c r="P68" s="371">
        <v>1459</v>
      </c>
      <c r="Q68" s="370">
        <v>0.18</v>
      </c>
      <c r="R68" s="375">
        <v>123</v>
      </c>
      <c r="S68" s="375">
        <v>37.4</v>
      </c>
      <c r="T68" s="375">
        <v>84.3</v>
      </c>
      <c r="U68" s="386">
        <v>3.45</v>
      </c>
      <c r="V68" s="371">
        <v>2342</v>
      </c>
      <c r="W68" s="371">
        <v>712</v>
      </c>
      <c r="X68" s="386">
        <v>1.6</v>
      </c>
    </row>
    <row r="69" spans="1:24" ht="10.25" customHeight="1" x14ac:dyDescent="0.15">
      <c r="A69" s="118" t="s">
        <v>145</v>
      </c>
      <c r="B69" s="111">
        <v>642</v>
      </c>
      <c r="C69" s="111">
        <v>11375</v>
      </c>
      <c r="D69" s="112">
        <v>17.7</v>
      </c>
      <c r="E69" s="111">
        <v>1713</v>
      </c>
      <c r="F69" s="111">
        <v>567</v>
      </c>
      <c r="G69" s="111">
        <v>166</v>
      </c>
      <c r="H69" s="111">
        <v>13354</v>
      </c>
      <c r="I69" s="116"/>
      <c r="J69" s="116"/>
      <c r="K69" s="116"/>
      <c r="L69" s="117"/>
      <c r="M69" s="366" t="s">
        <v>1306</v>
      </c>
      <c r="N69" s="369">
        <v>16.7</v>
      </c>
      <c r="O69" s="370">
        <v>2.04</v>
      </c>
      <c r="P69" s="371">
        <v>872</v>
      </c>
      <c r="Q69" s="370">
        <v>0.91</v>
      </c>
      <c r="R69" s="375">
        <v>54.4</v>
      </c>
      <c r="S69" s="375">
        <v>26.7</v>
      </c>
      <c r="T69" s="375">
        <v>62.4</v>
      </c>
      <c r="U69" s="386">
        <v>18.03</v>
      </c>
      <c r="V69" s="371">
        <v>1077</v>
      </c>
      <c r="W69" s="371">
        <v>528</v>
      </c>
      <c r="X69" s="386">
        <v>1.24</v>
      </c>
    </row>
    <row r="70" spans="1:24" ht="10.25" customHeight="1" x14ac:dyDescent="0.15">
      <c r="A70" s="118" t="s">
        <v>146</v>
      </c>
      <c r="B70" s="111">
        <v>1193</v>
      </c>
      <c r="C70" s="111">
        <v>15172</v>
      </c>
      <c r="D70" s="112">
        <v>12.7</v>
      </c>
      <c r="E70" s="111">
        <v>2259</v>
      </c>
      <c r="F70" s="111">
        <v>748</v>
      </c>
      <c r="G70" s="111">
        <v>219</v>
      </c>
      <c r="H70" s="111">
        <v>18211</v>
      </c>
      <c r="I70" s="116"/>
      <c r="J70" s="116"/>
      <c r="K70" s="116"/>
      <c r="L70" s="117"/>
      <c r="M70" s="367" t="s">
        <v>1303</v>
      </c>
      <c r="N70" s="369">
        <v>7.9</v>
      </c>
      <c r="O70" s="370">
        <v>1.47</v>
      </c>
      <c r="P70" s="371">
        <v>672</v>
      </c>
      <c r="Q70" s="370">
        <v>0.37</v>
      </c>
      <c r="R70" s="375">
        <v>46.4</v>
      </c>
      <c r="S70" s="375">
        <v>31.7</v>
      </c>
      <c r="T70" s="375">
        <v>69</v>
      </c>
      <c r="U70" s="386">
        <v>7.21</v>
      </c>
      <c r="V70" s="371">
        <v>914</v>
      </c>
      <c r="W70" s="371">
        <v>624</v>
      </c>
      <c r="X70" s="386">
        <v>1.36</v>
      </c>
    </row>
    <row r="71" spans="1:24" ht="10.25" customHeight="1" x14ac:dyDescent="0.15">
      <c r="A71" s="114" t="s">
        <v>147</v>
      </c>
      <c r="B71" s="111"/>
      <c r="C71" s="111"/>
      <c r="D71" s="112"/>
      <c r="E71" s="111"/>
      <c r="F71" s="111"/>
      <c r="G71" s="111"/>
      <c r="H71" s="111"/>
      <c r="I71" s="116"/>
      <c r="J71" s="116"/>
      <c r="K71" s="116"/>
      <c r="L71" s="117"/>
      <c r="M71" s="367" t="s">
        <v>1304</v>
      </c>
      <c r="N71" s="369">
        <v>7.4</v>
      </c>
      <c r="O71" s="370">
        <v>2.34</v>
      </c>
      <c r="P71" s="371">
        <v>978</v>
      </c>
      <c r="Q71" s="370">
        <v>0.45</v>
      </c>
      <c r="R71" s="375">
        <v>60.7</v>
      </c>
      <c r="S71" s="375">
        <v>25.9</v>
      </c>
      <c r="T71" s="375">
        <v>62.1</v>
      </c>
      <c r="U71" s="386">
        <v>8.8800000000000008</v>
      </c>
      <c r="V71" s="371">
        <v>1195</v>
      </c>
      <c r="W71" s="371">
        <v>510</v>
      </c>
      <c r="X71" s="386">
        <v>1.22</v>
      </c>
    </row>
    <row r="72" spans="1:24" ht="10.25" customHeight="1" x14ac:dyDescent="0.15">
      <c r="A72" s="118" t="s">
        <v>146</v>
      </c>
      <c r="B72" s="111">
        <v>631</v>
      </c>
      <c r="C72" s="111">
        <v>9290</v>
      </c>
      <c r="D72" s="112">
        <v>14.7</v>
      </c>
      <c r="E72" s="111">
        <v>1659</v>
      </c>
      <c r="F72" s="111">
        <v>549</v>
      </c>
      <c r="G72" s="111">
        <v>161</v>
      </c>
      <c r="H72" s="111">
        <v>12034</v>
      </c>
      <c r="I72" s="116"/>
      <c r="J72" s="116"/>
      <c r="K72" s="116"/>
      <c r="L72" s="117"/>
      <c r="M72" s="367" t="s">
        <v>1305</v>
      </c>
      <c r="N72" s="369">
        <v>1.4</v>
      </c>
      <c r="O72" s="370">
        <v>3.64</v>
      </c>
      <c r="P72" s="371">
        <v>1425</v>
      </c>
      <c r="Q72" s="370">
        <v>0.09</v>
      </c>
      <c r="R72" s="375">
        <v>66.2</v>
      </c>
      <c r="S72" s="375">
        <v>18.2</v>
      </c>
      <c r="T72" s="375">
        <v>46.5</v>
      </c>
      <c r="U72" s="386">
        <v>1.94</v>
      </c>
      <c r="V72" s="371">
        <v>1365</v>
      </c>
      <c r="W72" s="371">
        <v>375</v>
      </c>
      <c r="X72" s="386">
        <v>0.96</v>
      </c>
    </row>
    <row r="73" spans="1:24" ht="10.25" customHeight="1" x14ac:dyDescent="0.15">
      <c r="A73" s="114"/>
      <c r="B73" s="111"/>
      <c r="C73" s="111"/>
      <c r="D73" s="112"/>
      <c r="E73" s="111"/>
      <c r="F73" s="111"/>
      <c r="G73" s="111"/>
      <c r="H73" s="111"/>
      <c r="I73" s="116"/>
      <c r="J73" s="116"/>
      <c r="K73" s="116"/>
      <c r="L73" s="117"/>
      <c r="M73" s="363" t="s">
        <v>447</v>
      </c>
      <c r="N73" s="369">
        <v>6.9</v>
      </c>
      <c r="O73" s="370">
        <v>2.4700000000000002</v>
      </c>
      <c r="P73" s="371">
        <v>1059</v>
      </c>
      <c r="Q73" s="370">
        <v>0.49</v>
      </c>
      <c r="R73" s="375">
        <v>70.400000000000006</v>
      </c>
      <c r="S73" s="375">
        <v>28.5</v>
      </c>
      <c r="T73" s="375">
        <v>66.5</v>
      </c>
      <c r="U73" s="386">
        <v>10.42</v>
      </c>
      <c r="V73" s="371">
        <v>1501</v>
      </c>
      <c r="W73" s="371">
        <v>608</v>
      </c>
      <c r="X73" s="386">
        <v>1.42</v>
      </c>
    </row>
    <row r="74" spans="1:24" ht="10.25" customHeight="1" x14ac:dyDescent="0.15">
      <c r="A74" s="115" t="s">
        <v>148</v>
      </c>
      <c r="B74" s="111"/>
      <c r="C74" s="111"/>
      <c r="D74" s="112"/>
      <c r="E74" s="111"/>
      <c r="F74" s="111"/>
      <c r="G74" s="111"/>
      <c r="H74" s="111"/>
      <c r="I74" s="116"/>
      <c r="J74" s="116"/>
      <c r="K74" s="116"/>
      <c r="L74" s="117"/>
      <c r="M74" s="356" t="s">
        <v>1295</v>
      </c>
      <c r="N74" s="369">
        <v>3.5</v>
      </c>
      <c r="O74" s="370">
        <v>2.0499999999999998</v>
      </c>
      <c r="P74" s="371">
        <v>838</v>
      </c>
      <c r="Q74" s="370">
        <v>0.22</v>
      </c>
      <c r="R74" s="375">
        <v>63</v>
      </c>
      <c r="S74" s="375">
        <v>30.8</v>
      </c>
      <c r="T74" s="375">
        <v>75.2</v>
      </c>
      <c r="U74" s="386">
        <v>4.6399999999999997</v>
      </c>
      <c r="V74" s="371">
        <v>1339</v>
      </c>
      <c r="W74" s="371">
        <v>654</v>
      </c>
      <c r="X74" s="386">
        <v>1.6</v>
      </c>
    </row>
    <row r="75" spans="1:24" ht="10.25" customHeight="1" x14ac:dyDescent="0.15">
      <c r="A75" s="118" t="s">
        <v>149</v>
      </c>
      <c r="B75" s="111">
        <v>2919</v>
      </c>
      <c r="C75" s="111">
        <v>24935</v>
      </c>
      <c r="D75" s="112">
        <v>8.5</v>
      </c>
      <c r="E75" s="111">
        <v>3442</v>
      </c>
      <c r="F75" s="111">
        <v>1140</v>
      </c>
      <c r="G75" s="111">
        <v>334</v>
      </c>
      <c r="H75" s="111">
        <v>26809</v>
      </c>
      <c r="I75" s="116"/>
      <c r="J75" s="116"/>
      <c r="K75" s="116"/>
      <c r="L75" s="117"/>
      <c r="M75" s="356" t="s">
        <v>1305</v>
      </c>
      <c r="N75" s="369">
        <v>3.5</v>
      </c>
      <c r="O75" s="370">
        <v>2.89</v>
      </c>
      <c r="P75" s="371">
        <v>1279</v>
      </c>
      <c r="Q75" s="370">
        <v>0.27</v>
      </c>
      <c r="R75" s="375">
        <v>77.8</v>
      </c>
      <c r="S75" s="375">
        <v>26.9</v>
      </c>
      <c r="T75" s="375">
        <v>60.8</v>
      </c>
      <c r="U75" s="386">
        <v>5.78</v>
      </c>
      <c r="V75" s="371">
        <v>1663</v>
      </c>
      <c r="W75" s="371">
        <v>575</v>
      </c>
      <c r="X75" s="386">
        <v>1.3</v>
      </c>
    </row>
    <row r="76" spans="1:24" ht="10.25" customHeight="1" x14ac:dyDescent="0.15">
      <c r="A76" s="118" t="s">
        <v>150</v>
      </c>
      <c r="B76" s="111">
        <v>1011</v>
      </c>
      <c r="C76" s="111">
        <v>15978</v>
      </c>
      <c r="D76" s="112">
        <v>15.8</v>
      </c>
      <c r="E76" s="111">
        <v>2080</v>
      </c>
      <c r="F76" s="111">
        <v>689</v>
      </c>
      <c r="G76" s="111">
        <v>202</v>
      </c>
      <c r="H76" s="111">
        <v>16066</v>
      </c>
      <c r="I76" s="116"/>
      <c r="J76" s="116"/>
      <c r="K76" s="116"/>
      <c r="L76" s="117"/>
      <c r="M76" s="362"/>
      <c r="N76" s="369"/>
      <c r="O76" s="370"/>
      <c r="P76" s="371"/>
      <c r="Q76" s="370"/>
      <c r="R76" s="375"/>
      <c r="S76" s="375"/>
      <c r="T76" s="375"/>
      <c r="U76" s="386"/>
      <c r="V76" s="371"/>
      <c r="W76" s="371"/>
      <c r="X76" s="386"/>
    </row>
    <row r="77" spans="1:24" ht="10.25" customHeight="1" x14ac:dyDescent="0.15">
      <c r="A77" s="118" t="s">
        <v>151</v>
      </c>
      <c r="B77" s="111">
        <v>333</v>
      </c>
      <c r="C77" s="111">
        <v>7381</v>
      </c>
      <c r="D77" s="112">
        <v>22.1</v>
      </c>
      <c r="E77" s="111">
        <v>863</v>
      </c>
      <c r="F77" s="111">
        <v>286</v>
      </c>
      <c r="G77" s="111">
        <v>84</v>
      </c>
      <c r="H77" s="111">
        <v>6389</v>
      </c>
      <c r="I77" s="116"/>
      <c r="J77" s="116"/>
      <c r="K77" s="116"/>
      <c r="L77" s="117"/>
      <c r="M77" s="354" t="s">
        <v>448</v>
      </c>
      <c r="N77" s="369"/>
      <c r="O77" s="370"/>
      <c r="P77" s="371"/>
      <c r="Q77" s="370"/>
      <c r="R77" s="375"/>
      <c r="S77" s="375"/>
      <c r="T77" s="375"/>
      <c r="U77" s="386"/>
      <c r="V77" s="371"/>
      <c r="W77" s="371"/>
      <c r="X77" s="386"/>
    </row>
    <row r="78" spans="1:24" ht="10.25" customHeight="1" x14ac:dyDescent="0.15">
      <c r="A78" s="118" t="s">
        <v>152</v>
      </c>
      <c r="B78" s="111">
        <v>128</v>
      </c>
      <c r="C78" s="111">
        <v>10065</v>
      </c>
      <c r="D78" s="112">
        <v>78.7</v>
      </c>
      <c r="E78" s="111">
        <v>1796</v>
      </c>
      <c r="F78" s="111">
        <v>595</v>
      </c>
      <c r="G78" s="111">
        <v>174</v>
      </c>
      <c r="H78" s="111">
        <v>12517</v>
      </c>
      <c r="I78" s="116"/>
      <c r="J78" s="116"/>
      <c r="K78" s="116"/>
      <c r="L78" s="117"/>
      <c r="M78" s="363" t="s">
        <v>449</v>
      </c>
      <c r="N78" s="369">
        <v>78.099999999999994</v>
      </c>
      <c r="O78" s="370">
        <v>2.59</v>
      </c>
      <c r="P78" s="371">
        <v>2586</v>
      </c>
      <c r="Q78" s="370">
        <v>8.16</v>
      </c>
      <c r="R78" s="375">
        <v>104.4</v>
      </c>
      <c r="S78" s="375">
        <v>40.299999999999997</v>
      </c>
      <c r="T78" s="375">
        <v>40.4</v>
      </c>
      <c r="U78" s="386">
        <v>155.71</v>
      </c>
      <c r="V78" s="371">
        <v>1994</v>
      </c>
      <c r="W78" s="371">
        <v>769</v>
      </c>
      <c r="X78" s="386">
        <v>0.77</v>
      </c>
    </row>
    <row r="79" spans="1:24" ht="10.25" customHeight="1" x14ac:dyDescent="0.15">
      <c r="A79" s="118" t="s">
        <v>153</v>
      </c>
      <c r="B79" s="111">
        <v>12</v>
      </c>
      <c r="C79" s="111">
        <v>4947</v>
      </c>
      <c r="D79" s="112">
        <v>420</v>
      </c>
      <c r="E79" s="111">
        <v>987</v>
      </c>
      <c r="F79" s="111">
        <v>327</v>
      </c>
      <c r="G79" s="111">
        <v>96</v>
      </c>
      <c r="H79" s="111">
        <v>7251</v>
      </c>
      <c r="I79" s="116"/>
      <c r="J79" s="116"/>
      <c r="K79" s="116"/>
      <c r="L79" s="117"/>
      <c r="M79" s="356" t="s">
        <v>443</v>
      </c>
      <c r="N79" s="369">
        <v>64.099999999999994</v>
      </c>
      <c r="O79" s="370">
        <v>2.67</v>
      </c>
      <c r="P79" s="371">
        <v>2813</v>
      </c>
      <c r="Q79" s="370">
        <v>7.04</v>
      </c>
      <c r="R79" s="375">
        <v>109.8</v>
      </c>
      <c r="S79" s="375">
        <v>41.1</v>
      </c>
      <c r="T79" s="375">
        <v>39.1</v>
      </c>
      <c r="U79" s="386">
        <v>133.81</v>
      </c>
      <c r="V79" s="371">
        <v>2089</v>
      </c>
      <c r="W79" s="371">
        <v>782</v>
      </c>
      <c r="X79" s="386">
        <v>0.74</v>
      </c>
    </row>
    <row r="80" spans="1:24" ht="10.25" customHeight="1" x14ac:dyDescent="0.15">
      <c r="A80" s="114"/>
      <c r="B80" s="111"/>
      <c r="C80" s="111"/>
      <c r="D80" s="112"/>
      <c r="E80" s="111"/>
      <c r="F80" s="111"/>
      <c r="G80" s="111"/>
      <c r="H80" s="111"/>
      <c r="I80" s="116"/>
      <c r="J80" s="116"/>
      <c r="K80" s="116"/>
      <c r="L80" s="117"/>
      <c r="M80" s="356" t="s">
        <v>444</v>
      </c>
      <c r="N80" s="369">
        <v>4.2</v>
      </c>
      <c r="O80" s="370">
        <v>2.36</v>
      </c>
      <c r="P80" s="371">
        <v>2400</v>
      </c>
      <c r="Q80" s="370">
        <v>0.4</v>
      </c>
      <c r="R80" s="375">
        <v>94.9</v>
      </c>
      <c r="S80" s="375">
        <v>40.200000000000003</v>
      </c>
      <c r="T80" s="375">
        <v>39.5</v>
      </c>
      <c r="U80" s="386">
        <v>7.01</v>
      </c>
      <c r="V80" s="371">
        <v>1682</v>
      </c>
      <c r="W80" s="371">
        <v>713</v>
      </c>
      <c r="X80" s="386">
        <v>0.7</v>
      </c>
    </row>
    <row r="81" spans="1:24" ht="10.25" customHeight="1" x14ac:dyDescent="0.15">
      <c r="A81" s="115" t="s">
        <v>154</v>
      </c>
      <c r="B81" s="111"/>
      <c r="C81" s="111"/>
      <c r="D81" s="112"/>
      <c r="E81" s="111"/>
      <c r="F81" s="111"/>
      <c r="G81" s="111"/>
      <c r="H81" s="111"/>
      <c r="I81" s="116"/>
      <c r="J81" s="116"/>
      <c r="K81" s="116"/>
      <c r="L81" s="117"/>
      <c r="M81" s="356" t="s">
        <v>445</v>
      </c>
      <c r="N81" s="369">
        <v>1.8</v>
      </c>
      <c r="O81" s="370">
        <v>2.23</v>
      </c>
      <c r="P81" s="371">
        <v>1604</v>
      </c>
      <c r="Q81" s="370">
        <v>0.2</v>
      </c>
      <c r="R81" s="375">
        <v>110.5</v>
      </c>
      <c r="S81" s="375">
        <v>49.5</v>
      </c>
      <c r="T81" s="375">
        <v>68.900000000000006</v>
      </c>
      <c r="U81" s="386">
        <v>3.76</v>
      </c>
      <c r="V81" s="371">
        <v>2045</v>
      </c>
      <c r="W81" s="371">
        <v>916</v>
      </c>
      <c r="X81" s="386">
        <v>1.28</v>
      </c>
    </row>
    <row r="82" spans="1:24" ht="10.25" customHeight="1" x14ac:dyDescent="0.15">
      <c r="A82" s="115" t="s">
        <v>155</v>
      </c>
      <c r="B82" s="111"/>
      <c r="C82" s="111"/>
      <c r="D82" s="112"/>
      <c r="E82" s="111"/>
      <c r="F82" s="111"/>
      <c r="G82" s="111"/>
      <c r="H82" s="111"/>
      <c r="I82" s="116"/>
      <c r="J82" s="116"/>
      <c r="K82" s="116"/>
      <c r="L82" s="117"/>
      <c r="M82" s="356" t="s">
        <v>1307</v>
      </c>
      <c r="N82" s="369">
        <v>2.2999999999999998</v>
      </c>
      <c r="O82" s="370">
        <v>1.65</v>
      </c>
      <c r="P82" s="371">
        <v>1116</v>
      </c>
      <c r="Q82" s="370">
        <v>0.12</v>
      </c>
      <c r="R82" s="375">
        <v>50.9</v>
      </c>
      <c r="S82" s="375">
        <v>30.8</v>
      </c>
      <c r="T82" s="375">
        <v>45.6</v>
      </c>
      <c r="U82" s="386">
        <v>2.4300000000000002</v>
      </c>
      <c r="V82" s="371">
        <v>1056</v>
      </c>
      <c r="W82" s="371">
        <v>640</v>
      </c>
      <c r="X82" s="386">
        <v>0.95</v>
      </c>
    </row>
    <row r="83" spans="1:24" ht="10.25" customHeight="1" x14ac:dyDescent="0.15">
      <c r="A83" s="118" t="s">
        <v>156</v>
      </c>
      <c r="B83" s="111">
        <v>305</v>
      </c>
      <c r="C83" s="111">
        <v>24495</v>
      </c>
      <c r="D83" s="112">
        <v>80.3</v>
      </c>
      <c r="E83" s="111">
        <v>4289</v>
      </c>
      <c r="F83" s="111">
        <v>1421</v>
      </c>
      <c r="G83" s="111">
        <v>416</v>
      </c>
      <c r="H83" s="111">
        <v>30227</v>
      </c>
      <c r="I83" s="116"/>
      <c r="J83" s="116"/>
      <c r="K83" s="116"/>
      <c r="L83" s="117"/>
      <c r="M83" s="356" t="s">
        <v>447</v>
      </c>
      <c r="N83" s="369">
        <v>5.7</v>
      </c>
      <c r="O83" s="370">
        <v>2.39</v>
      </c>
      <c r="P83" s="371">
        <v>1099</v>
      </c>
      <c r="Q83" s="370">
        <v>0.4</v>
      </c>
      <c r="R83" s="375">
        <v>70.5</v>
      </c>
      <c r="S83" s="375">
        <v>29.5</v>
      </c>
      <c r="T83" s="375">
        <v>64.099999999999994</v>
      </c>
      <c r="U83" s="386">
        <v>8.6999999999999993</v>
      </c>
      <c r="V83" s="371">
        <v>1514</v>
      </c>
      <c r="W83" s="371">
        <v>633</v>
      </c>
      <c r="X83" s="386">
        <v>1.38</v>
      </c>
    </row>
    <row r="84" spans="1:24" ht="10.25" customHeight="1" x14ac:dyDescent="0.15">
      <c r="A84" s="114" t="s">
        <v>157</v>
      </c>
      <c r="B84" s="111"/>
      <c r="C84" s="111"/>
      <c r="D84" s="112"/>
      <c r="E84" s="111"/>
      <c r="F84" s="111"/>
      <c r="G84" s="111"/>
      <c r="H84" s="111"/>
      <c r="I84" s="116"/>
      <c r="J84" s="116"/>
      <c r="K84" s="116"/>
      <c r="L84" s="117"/>
      <c r="M84" s="363" t="s">
        <v>450</v>
      </c>
      <c r="N84" s="369">
        <v>33</v>
      </c>
      <c r="O84" s="370">
        <v>2.5099999999999998</v>
      </c>
      <c r="P84" s="371">
        <v>1188</v>
      </c>
      <c r="Q84" s="370">
        <v>2.39</v>
      </c>
      <c r="R84" s="375">
        <v>72.400000000000006</v>
      </c>
      <c r="S84" s="375">
        <v>28.9</v>
      </c>
      <c r="T84" s="375">
        <v>61</v>
      </c>
      <c r="U84" s="386">
        <v>45.35</v>
      </c>
      <c r="V84" s="371">
        <v>1375</v>
      </c>
      <c r="W84" s="371">
        <v>548</v>
      </c>
      <c r="X84" s="386">
        <v>1.1599999999999999</v>
      </c>
    </row>
    <row r="85" spans="1:24" ht="10.25" customHeight="1" x14ac:dyDescent="0.15">
      <c r="A85" s="118" t="s">
        <v>158</v>
      </c>
      <c r="B85" s="111">
        <v>205</v>
      </c>
      <c r="C85" s="111">
        <v>8107</v>
      </c>
      <c r="D85" s="112">
        <v>39.6</v>
      </c>
      <c r="E85" s="111">
        <v>1069</v>
      </c>
      <c r="F85" s="111">
        <v>354</v>
      </c>
      <c r="G85" s="111">
        <v>104</v>
      </c>
      <c r="H85" s="111">
        <v>7712</v>
      </c>
      <c r="I85" s="116"/>
      <c r="J85" s="116"/>
      <c r="K85" s="116"/>
      <c r="L85" s="117"/>
      <c r="M85" s="356" t="s">
        <v>443</v>
      </c>
      <c r="N85" s="369">
        <v>8</v>
      </c>
      <c r="O85" s="370">
        <v>3.17</v>
      </c>
      <c r="P85" s="371">
        <v>1983</v>
      </c>
      <c r="Q85" s="370">
        <v>0.77</v>
      </c>
      <c r="R85" s="375">
        <v>96.5</v>
      </c>
      <c r="S85" s="375">
        <v>30.5</v>
      </c>
      <c r="T85" s="375">
        <v>48.7</v>
      </c>
      <c r="U85" s="386">
        <v>14.61</v>
      </c>
      <c r="V85" s="371">
        <v>1824</v>
      </c>
      <c r="W85" s="371">
        <v>576</v>
      </c>
      <c r="X85" s="386">
        <v>0.92</v>
      </c>
    </row>
    <row r="86" spans="1:24" ht="10.25" customHeight="1" x14ac:dyDescent="0.15">
      <c r="A86" s="118" t="s">
        <v>159</v>
      </c>
      <c r="B86" s="111">
        <v>88</v>
      </c>
      <c r="C86" s="111">
        <v>10120</v>
      </c>
      <c r="D86" s="112">
        <v>115.3</v>
      </c>
      <c r="E86" s="111">
        <v>1767</v>
      </c>
      <c r="F86" s="111">
        <v>585</v>
      </c>
      <c r="G86" s="111">
        <v>172</v>
      </c>
      <c r="H86" s="111">
        <v>12340</v>
      </c>
      <c r="I86" s="116"/>
      <c r="J86" s="116"/>
      <c r="K86" s="116"/>
      <c r="L86" s="117"/>
      <c r="M86" s="356" t="s">
        <v>444</v>
      </c>
      <c r="N86" s="369">
        <v>3.4</v>
      </c>
      <c r="O86" s="370">
        <v>2.62</v>
      </c>
      <c r="P86" s="371">
        <v>1383</v>
      </c>
      <c r="Q86" s="370">
        <v>0.28000000000000003</v>
      </c>
      <c r="R86" s="375">
        <v>82.6</v>
      </c>
      <c r="S86" s="375">
        <v>31.5</v>
      </c>
      <c r="T86" s="375">
        <v>59.7</v>
      </c>
      <c r="U86" s="386">
        <v>5.13</v>
      </c>
      <c r="V86" s="371">
        <v>1495</v>
      </c>
      <c r="W86" s="371">
        <v>570</v>
      </c>
      <c r="X86" s="386">
        <v>1.08</v>
      </c>
    </row>
    <row r="87" spans="1:24" ht="10.25" customHeight="1" x14ac:dyDescent="0.15">
      <c r="A87" s="118" t="s">
        <v>160</v>
      </c>
      <c r="B87" s="111">
        <v>13</v>
      </c>
      <c r="C87" s="111">
        <v>6268</v>
      </c>
      <c r="D87" s="112">
        <v>491.5</v>
      </c>
      <c r="E87" s="111">
        <v>1453</v>
      </c>
      <c r="F87" s="111">
        <v>481</v>
      </c>
      <c r="G87" s="111">
        <v>141</v>
      </c>
      <c r="H87" s="111">
        <v>10175</v>
      </c>
      <c r="I87" s="116"/>
      <c r="J87" s="116"/>
      <c r="K87" s="116"/>
      <c r="L87" s="117"/>
      <c r="M87" s="356" t="s">
        <v>445</v>
      </c>
      <c r="N87" s="369">
        <v>5.9</v>
      </c>
      <c r="O87" s="370">
        <v>2.48</v>
      </c>
      <c r="P87" s="371">
        <v>930</v>
      </c>
      <c r="Q87" s="370">
        <v>0.46</v>
      </c>
      <c r="R87" s="375">
        <v>77.099999999999994</v>
      </c>
      <c r="S87" s="375">
        <v>31.1</v>
      </c>
      <c r="T87" s="375">
        <v>82.9</v>
      </c>
      <c r="U87" s="386">
        <v>8.3000000000000007</v>
      </c>
      <c r="V87" s="371">
        <v>1404</v>
      </c>
      <c r="W87" s="371">
        <v>567</v>
      </c>
      <c r="X87" s="386">
        <v>1.51</v>
      </c>
    </row>
    <row r="88" spans="1:24" ht="10.25" customHeight="1" x14ac:dyDescent="0.15">
      <c r="A88" s="118" t="s">
        <v>161</v>
      </c>
      <c r="B88" s="111">
        <v>6</v>
      </c>
      <c r="C88" s="111">
        <v>2350</v>
      </c>
      <c r="D88" s="112">
        <v>388.7</v>
      </c>
      <c r="E88" s="111">
        <v>583</v>
      </c>
      <c r="F88" s="111">
        <v>193</v>
      </c>
      <c r="G88" s="111">
        <v>57</v>
      </c>
      <c r="H88" s="111">
        <v>4096</v>
      </c>
      <c r="I88" s="116"/>
      <c r="J88" s="116"/>
      <c r="K88" s="116"/>
      <c r="L88" s="117"/>
      <c r="M88" s="356" t="s">
        <v>1307</v>
      </c>
      <c r="N88" s="369">
        <v>14.4</v>
      </c>
      <c r="O88" s="370">
        <v>2.1</v>
      </c>
      <c r="P88" s="371">
        <v>833</v>
      </c>
      <c r="Q88" s="370">
        <v>0.79</v>
      </c>
      <c r="R88" s="375">
        <v>55</v>
      </c>
      <c r="S88" s="375">
        <v>26.2</v>
      </c>
      <c r="T88" s="375">
        <v>66</v>
      </c>
      <c r="U88" s="386">
        <v>15.59</v>
      </c>
      <c r="V88" s="371">
        <v>1080</v>
      </c>
      <c r="W88" s="371">
        <v>514</v>
      </c>
      <c r="X88" s="386">
        <v>1.3</v>
      </c>
    </row>
    <row r="89" spans="1:24" ht="10.25" customHeight="1" x14ac:dyDescent="0.15">
      <c r="A89" s="114"/>
      <c r="B89" s="111"/>
      <c r="C89" s="111"/>
      <c r="D89" s="112"/>
      <c r="E89" s="111"/>
      <c r="F89" s="111"/>
      <c r="G89" s="111"/>
      <c r="H89" s="111"/>
      <c r="I89" s="116"/>
      <c r="J89" s="116"/>
      <c r="K89" s="116"/>
      <c r="L89" s="117"/>
      <c r="M89" s="356" t="s">
        <v>447</v>
      </c>
      <c r="N89" s="369">
        <v>1.2</v>
      </c>
      <c r="O89" s="370">
        <v>2.84</v>
      </c>
      <c r="P89" s="371">
        <v>866</v>
      </c>
      <c r="Q89" s="370">
        <v>0.08</v>
      </c>
      <c r="R89" s="375">
        <v>70</v>
      </c>
      <c r="S89" s="375">
        <v>24.6</v>
      </c>
      <c r="T89" s="375">
        <v>80.8</v>
      </c>
      <c r="U89" s="386">
        <v>1.72</v>
      </c>
      <c r="V89" s="371">
        <v>1439</v>
      </c>
      <c r="W89" s="371">
        <v>506</v>
      </c>
      <c r="X89" s="386">
        <v>1.66</v>
      </c>
    </row>
    <row r="90" spans="1:24" ht="10.25" customHeight="1" x14ac:dyDescent="0.15">
      <c r="A90" s="115" t="s">
        <v>162</v>
      </c>
      <c r="B90" s="111"/>
      <c r="C90" s="111"/>
      <c r="D90" s="112"/>
      <c r="E90" s="111"/>
      <c r="F90" s="111"/>
      <c r="G90" s="111"/>
      <c r="H90" s="111"/>
      <c r="I90" s="116"/>
      <c r="J90" s="116"/>
      <c r="K90" s="116"/>
      <c r="L90" s="117"/>
      <c r="M90" s="356"/>
      <c r="N90" s="369"/>
      <c r="O90" s="370"/>
      <c r="P90" s="371"/>
      <c r="Q90" s="370"/>
      <c r="R90" s="375"/>
      <c r="S90" s="375"/>
      <c r="T90" s="375"/>
      <c r="U90" s="386"/>
      <c r="V90" s="371"/>
      <c r="W90" s="371"/>
      <c r="X90" s="386"/>
    </row>
    <row r="91" spans="1:24" ht="10.25" customHeight="1" x14ac:dyDescent="0.15">
      <c r="A91" s="118" t="s">
        <v>163</v>
      </c>
      <c r="B91" s="111">
        <v>2415</v>
      </c>
      <c r="C91" s="111">
        <v>14061</v>
      </c>
      <c r="D91" s="112">
        <v>5.8</v>
      </c>
      <c r="E91" s="111">
        <v>1122</v>
      </c>
      <c r="F91" s="111">
        <v>372</v>
      </c>
      <c r="G91" s="111">
        <v>109</v>
      </c>
      <c r="H91" s="111">
        <v>9503</v>
      </c>
      <c r="I91" s="116"/>
      <c r="J91" s="116"/>
      <c r="K91" s="116"/>
      <c r="L91" s="117"/>
      <c r="M91" s="354" t="s">
        <v>451</v>
      </c>
      <c r="N91" s="369"/>
      <c r="O91" s="370"/>
      <c r="P91" s="371"/>
      <c r="Q91" s="370"/>
      <c r="R91" s="375"/>
      <c r="S91" s="375"/>
      <c r="T91" s="375"/>
      <c r="U91" s="386"/>
      <c r="V91" s="371"/>
      <c r="W91" s="371"/>
      <c r="X91" s="386"/>
    </row>
    <row r="92" spans="1:24" ht="10.25" customHeight="1" x14ac:dyDescent="0.15">
      <c r="A92" s="118" t="s">
        <v>164</v>
      </c>
      <c r="B92" s="111">
        <v>775</v>
      </c>
      <c r="C92" s="111">
        <v>6147</v>
      </c>
      <c r="D92" s="112">
        <v>7.9</v>
      </c>
      <c r="E92" s="111">
        <v>749</v>
      </c>
      <c r="F92" s="111">
        <v>248</v>
      </c>
      <c r="G92" s="111">
        <v>73</v>
      </c>
      <c r="H92" s="111">
        <v>6390</v>
      </c>
      <c r="I92" s="116"/>
      <c r="J92" s="116"/>
      <c r="K92" s="116"/>
      <c r="L92" s="117"/>
      <c r="M92" s="355" t="s">
        <v>452</v>
      </c>
      <c r="N92" s="369">
        <v>14.7</v>
      </c>
      <c r="O92" s="370">
        <v>2.46</v>
      </c>
      <c r="P92" s="371">
        <v>2325</v>
      </c>
      <c r="Q92" s="370">
        <v>1.77</v>
      </c>
      <c r="R92" s="375">
        <v>120.4</v>
      </c>
      <c r="S92" s="375">
        <v>48.9</v>
      </c>
      <c r="T92" s="375">
        <v>51.8</v>
      </c>
      <c r="U92" s="386">
        <v>30.05</v>
      </c>
      <c r="V92" s="371">
        <v>2047</v>
      </c>
      <c r="W92" s="371">
        <v>832</v>
      </c>
      <c r="X92" s="386">
        <v>0.88</v>
      </c>
    </row>
    <row r="93" spans="1:24" ht="10.25" customHeight="1" x14ac:dyDescent="0.15">
      <c r="A93" s="118" t="s">
        <v>165</v>
      </c>
      <c r="B93" s="111">
        <v>563</v>
      </c>
      <c r="C93" s="111">
        <v>7803</v>
      </c>
      <c r="D93" s="112">
        <v>13.9</v>
      </c>
      <c r="E93" s="111">
        <v>915</v>
      </c>
      <c r="F93" s="111">
        <v>303</v>
      </c>
      <c r="G93" s="111">
        <v>89</v>
      </c>
      <c r="H93" s="111">
        <v>7647</v>
      </c>
      <c r="I93" s="116"/>
      <c r="J93" s="116"/>
      <c r="K93" s="116"/>
      <c r="L93" s="117"/>
      <c r="M93" s="355" t="s">
        <v>453</v>
      </c>
      <c r="N93" s="369">
        <v>7.4</v>
      </c>
      <c r="O93" s="370">
        <v>2.44</v>
      </c>
      <c r="P93" s="371">
        <v>2047</v>
      </c>
      <c r="Q93" s="370">
        <v>0.77</v>
      </c>
      <c r="R93" s="375">
        <v>104</v>
      </c>
      <c r="S93" s="375">
        <v>42.7</v>
      </c>
      <c r="T93" s="375">
        <v>50.8</v>
      </c>
      <c r="U93" s="386">
        <v>13.41</v>
      </c>
      <c r="V93" s="371">
        <v>1810</v>
      </c>
      <c r="W93" s="371">
        <v>743</v>
      </c>
      <c r="X93" s="386">
        <v>0.88</v>
      </c>
    </row>
    <row r="94" spans="1:24" ht="10.25" customHeight="1" x14ac:dyDescent="0.15">
      <c r="A94" s="118" t="s">
        <v>166</v>
      </c>
      <c r="B94" s="111">
        <v>397</v>
      </c>
      <c r="C94" s="111">
        <v>10962</v>
      </c>
      <c r="D94" s="112">
        <v>27.6</v>
      </c>
      <c r="E94" s="111">
        <v>1581</v>
      </c>
      <c r="F94" s="111">
        <v>524</v>
      </c>
      <c r="G94" s="111">
        <v>154</v>
      </c>
      <c r="H94" s="111">
        <v>11966</v>
      </c>
      <c r="I94" s="116"/>
      <c r="J94" s="116"/>
      <c r="K94" s="116"/>
      <c r="L94" s="117"/>
      <c r="M94" s="355" t="s">
        <v>454</v>
      </c>
      <c r="N94" s="369">
        <v>12.5</v>
      </c>
      <c r="O94" s="370">
        <v>2.4300000000000002</v>
      </c>
      <c r="P94" s="371">
        <v>2052</v>
      </c>
      <c r="Q94" s="370">
        <v>1.23</v>
      </c>
      <c r="R94" s="375">
        <v>98.3</v>
      </c>
      <c r="S94" s="375">
        <v>40.5</v>
      </c>
      <c r="T94" s="375">
        <v>47.9</v>
      </c>
      <c r="U94" s="386">
        <v>22.17</v>
      </c>
      <c r="V94" s="371">
        <v>1770</v>
      </c>
      <c r="W94" s="371">
        <v>729</v>
      </c>
      <c r="X94" s="386">
        <v>0.86</v>
      </c>
    </row>
    <row r="95" spans="1:24" ht="10.25" customHeight="1" x14ac:dyDescent="0.15">
      <c r="A95" s="118" t="s">
        <v>167</v>
      </c>
      <c r="B95" s="111">
        <v>147</v>
      </c>
      <c r="C95" s="111">
        <v>7934</v>
      </c>
      <c r="D95" s="112">
        <v>53.8</v>
      </c>
      <c r="E95" s="111">
        <v>1218</v>
      </c>
      <c r="F95" s="111">
        <v>403</v>
      </c>
      <c r="G95" s="111">
        <v>118</v>
      </c>
      <c r="H95" s="111">
        <v>8532</v>
      </c>
      <c r="I95" s="116"/>
      <c r="J95" s="116"/>
      <c r="K95" s="116"/>
      <c r="L95" s="117"/>
      <c r="M95" s="355" t="s">
        <v>455</v>
      </c>
      <c r="N95" s="369">
        <v>12.5</v>
      </c>
      <c r="O95" s="370">
        <v>2.64</v>
      </c>
      <c r="P95" s="371">
        <v>1969</v>
      </c>
      <c r="Q95" s="370">
        <v>1.18</v>
      </c>
      <c r="R95" s="375">
        <v>94.9</v>
      </c>
      <c r="S95" s="375">
        <v>35.9</v>
      </c>
      <c r="T95" s="375">
        <v>48.2</v>
      </c>
      <c r="U95" s="386">
        <v>21.98</v>
      </c>
      <c r="V95" s="371">
        <v>1764</v>
      </c>
      <c r="W95" s="371">
        <v>668</v>
      </c>
      <c r="X95" s="386">
        <v>0.9</v>
      </c>
    </row>
    <row r="96" spans="1:24" ht="10.25" customHeight="1" x14ac:dyDescent="0.15">
      <c r="A96" s="118" t="s">
        <v>168</v>
      </c>
      <c r="B96" s="111">
        <v>77</v>
      </c>
      <c r="C96" s="111">
        <v>6871</v>
      </c>
      <c r="D96" s="112">
        <v>89.7</v>
      </c>
      <c r="E96" s="111">
        <v>1388</v>
      </c>
      <c r="F96" s="111">
        <v>460</v>
      </c>
      <c r="G96" s="111">
        <v>135</v>
      </c>
      <c r="H96" s="111">
        <v>9768</v>
      </c>
      <c r="I96" s="116"/>
      <c r="J96" s="116"/>
      <c r="K96" s="116"/>
      <c r="L96" s="117"/>
      <c r="M96" s="355" t="s">
        <v>456</v>
      </c>
      <c r="N96" s="369">
        <v>18.899999999999999</v>
      </c>
      <c r="O96" s="370">
        <v>2.4900000000000002</v>
      </c>
      <c r="P96" s="371">
        <v>1863</v>
      </c>
      <c r="Q96" s="370">
        <v>1.58</v>
      </c>
      <c r="R96" s="375">
        <v>83.4</v>
      </c>
      <c r="S96" s="375">
        <v>33.5</v>
      </c>
      <c r="T96" s="375">
        <v>44.8</v>
      </c>
      <c r="U96" s="386">
        <v>31.25</v>
      </c>
      <c r="V96" s="371">
        <v>1654</v>
      </c>
      <c r="W96" s="371">
        <v>665</v>
      </c>
      <c r="X96" s="386">
        <v>0.89</v>
      </c>
    </row>
    <row r="97" spans="1:24" ht="10.25" customHeight="1" x14ac:dyDescent="0.15">
      <c r="A97" s="118" t="s">
        <v>169</v>
      </c>
      <c r="B97" s="111">
        <v>30</v>
      </c>
      <c r="C97" s="111">
        <v>9528</v>
      </c>
      <c r="D97" s="112">
        <v>320.39999999999998</v>
      </c>
      <c r="E97" s="111">
        <v>2195</v>
      </c>
      <c r="F97" s="111">
        <v>727</v>
      </c>
      <c r="G97" s="111">
        <v>213</v>
      </c>
      <c r="H97" s="111">
        <v>15224</v>
      </c>
      <c r="I97" s="116"/>
      <c r="J97" s="116"/>
      <c r="K97" s="116"/>
      <c r="L97" s="117"/>
      <c r="M97" s="355" t="s">
        <v>457</v>
      </c>
      <c r="N97" s="369">
        <v>18.600000000000001</v>
      </c>
      <c r="O97" s="370">
        <v>2.52</v>
      </c>
      <c r="P97" s="371">
        <v>1992</v>
      </c>
      <c r="Q97" s="370">
        <v>1.51</v>
      </c>
      <c r="R97" s="375">
        <v>81.400000000000006</v>
      </c>
      <c r="S97" s="375">
        <v>32.299999999999997</v>
      </c>
      <c r="T97" s="375">
        <v>40.9</v>
      </c>
      <c r="U97" s="386">
        <v>31.31</v>
      </c>
      <c r="V97" s="371">
        <v>1685</v>
      </c>
      <c r="W97" s="371">
        <v>670</v>
      </c>
      <c r="X97" s="386">
        <v>0.85</v>
      </c>
    </row>
    <row r="98" spans="1:24" ht="10.25" customHeight="1" x14ac:dyDescent="0.15">
      <c r="A98" s="114"/>
      <c r="B98" s="111"/>
      <c r="C98" s="111"/>
      <c r="D98" s="112"/>
      <c r="E98" s="111"/>
      <c r="F98" s="111"/>
      <c r="G98" s="111"/>
      <c r="H98" s="111"/>
      <c r="I98" s="116"/>
      <c r="J98" s="116"/>
      <c r="K98" s="116"/>
      <c r="L98" s="117"/>
      <c r="M98" s="355" t="s">
        <v>458</v>
      </c>
      <c r="N98" s="369">
        <v>17.3</v>
      </c>
      <c r="O98" s="370">
        <v>2.8</v>
      </c>
      <c r="P98" s="371">
        <v>2501</v>
      </c>
      <c r="Q98" s="370">
        <v>1.64</v>
      </c>
      <c r="R98" s="375">
        <v>94.4</v>
      </c>
      <c r="S98" s="375">
        <v>33.700000000000003</v>
      </c>
      <c r="T98" s="375">
        <v>37.700000000000003</v>
      </c>
      <c r="U98" s="386">
        <v>33.06</v>
      </c>
      <c r="V98" s="371">
        <v>1907</v>
      </c>
      <c r="W98" s="371">
        <v>680</v>
      </c>
      <c r="X98" s="386">
        <v>0.76</v>
      </c>
    </row>
    <row r="99" spans="1:24" ht="10.25" customHeight="1" x14ac:dyDescent="0.15">
      <c r="A99" s="115" t="s">
        <v>170</v>
      </c>
      <c r="B99" s="111"/>
      <c r="C99" s="111"/>
      <c r="D99" s="112"/>
      <c r="E99" s="111"/>
      <c r="F99" s="111"/>
      <c r="G99" s="111"/>
      <c r="H99" s="111"/>
      <c r="I99" s="116"/>
      <c r="J99" s="116"/>
      <c r="K99" s="116"/>
      <c r="L99" s="117"/>
      <c r="M99" s="355" t="s">
        <v>459</v>
      </c>
      <c r="N99" s="369">
        <v>9.1999999999999993</v>
      </c>
      <c r="O99" s="370">
        <v>2.76</v>
      </c>
      <c r="P99" s="371">
        <v>2827</v>
      </c>
      <c r="Q99" s="370">
        <v>0.87</v>
      </c>
      <c r="R99" s="375">
        <v>94.4</v>
      </c>
      <c r="S99" s="375">
        <v>34.200000000000003</v>
      </c>
      <c r="T99" s="375">
        <v>33.4</v>
      </c>
      <c r="U99" s="386">
        <v>17.84</v>
      </c>
      <c r="V99" s="371">
        <v>1936</v>
      </c>
      <c r="W99" s="371">
        <v>701</v>
      </c>
      <c r="X99" s="386">
        <v>0.68</v>
      </c>
    </row>
    <row r="100" spans="1:24" ht="10.25" customHeight="1" x14ac:dyDescent="0.15">
      <c r="A100" s="118" t="s">
        <v>171</v>
      </c>
      <c r="B100" s="111">
        <v>866</v>
      </c>
      <c r="C100" s="111">
        <v>5900</v>
      </c>
      <c r="D100" s="112">
        <v>6.8</v>
      </c>
      <c r="E100" s="111">
        <v>272</v>
      </c>
      <c r="F100" s="111">
        <v>90</v>
      </c>
      <c r="G100" s="111">
        <v>26</v>
      </c>
      <c r="H100" s="111">
        <v>2489</v>
      </c>
      <c r="I100" s="116"/>
      <c r="J100" s="116"/>
      <c r="K100" s="116"/>
      <c r="L100" s="117"/>
      <c r="M100" s="355"/>
      <c r="N100" s="369"/>
      <c r="O100" s="370"/>
      <c r="P100" s="371"/>
      <c r="Q100" s="370"/>
      <c r="R100" s="375"/>
      <c r="S100" s="375"/>
      <c r="T100" s="375"/>
      <c r="U100" s="386"/>
      <c r="V100" s="371"/>
      <c r="W100" s="371"/>
      <c r="X100" s="386"/>
    </row>
    <row r="101" spans="1:24" ht="10.25" customHeight="1" x14ac:dyDescent="0.15">
      <c r="A101" s="118" t="s">
        <v>172</v>
      </c>
      <c r="B101" s="111">
        <v>1105</v>
      </c>
      <c r="C101" s="111">
        <v>11571</v>
      </c>
      <c r="D101" s="112">
        <v>10.5</v>
      </c>
      <c r="E101" s="111">
        <v>1199</v>
      </c>
      <c r="F101" s="111">
        <v>397</v>
      </c>
      <c r="G101" s="111">
        <v>116</v>
      </c>
      <c r="H101" s="111">
        <v>9577</v>
      </c>
      <c r="I101" s="116"/>
      <c r="J101" s="116"/>
      <c r="K101" s="116"/>
      <c r="L101" s="117"/>
      <c r="M101" s="354" t="s">
        <v>460</v>
      </c>
      <c r="N101" s="369"/>
      <c r="O101" s="370"/>
      <c r="P101" s="371"/>
      <c r="Q101" s="370"/>
      <c r="R101" s="375"/>
      <c r="S101" s="375"/>
      <c r="T101" s="375"/>
      <c r="U101" s="386"/>
      <c r="V101" s="371"/>
      <c r="W101" s="371"/>
      <c r="X101" s="386"/>
    </row>
    <row r="102" spans="1:24" ht="10.25" customHeight="1" x14ac:dyDescent="0.15">
      <c r="A102" s="118" t="s">
        <v>173</v>
      </c>
      <c r="B102" s="111">
        <v>1055</v>
      </c>
      <c r="C102" s="111">
        <v>15702</v>
      </c>
      <c r="D102" s="112">
        <v>14.9</v>
      </c>
      <c r="E102" s="111">
        <v>1805</v>
      </c>
      <c r="F102" s="111">
        <v>598</v>
      </c>
      <c r="G102" s="111">
        <v>175</v>
      </c>
      <c r="H102" s="111">
        <v>14232</v>
      </c>
      <c r="I102" s="116"/>
      <c r="J102" s="116"/>
      <c r="K102" s="116"/>
      <c r="L102" s="117"/>
      <c r="M102" s="355" t="s">
        <v>461</v>
      </c>
      <c r="N102" s="369">
        <v>3.2</v>
      </c>
      <c r="O102" s="370">
        <v>1.9</v>
      </c>
      <c r="P102" s="371">
        <v>375</v>
      </c>
      <c r="Q102" s="370">
        <v>0.18</v>
      </c>
      <c r="R102" s="375">
        <v>56.5</v>
      </c>
      <c r="S102" s="375">
        <v>29.8</v>
      </c>
      <c r="T102" s="375">
        <v>150.80000000000001</v>
      </c>
      <c r="U102" s="386">
        <v>3.51</v>
      </c>
      <c r="V102" s="371">
        <v>1087</v>
      </c>
      <c r="W102" s="371">
        <v>573</v>
      </c>
      <c r="X102" s="386">
        <v>2.9</v>
      </c>
    </row>
    <row r="103" spans="1:24" ht="10.25" customHeight="1" x14ac:dyDescent="0.15">
      <c r="A103" s="118" t="s">
        <v>174</v>
      </c>
      <c r="B103" s="111">
        <v>580</v>
      </c>
      <c r="C103" s="111">
        <v>10312</v>
      </c>
      <c r="D103" s="112">
        <v>17.8</v>
      </c>
      <c r="E103" s="111">
        <v>1500</v>
      </c>
      <c r="F103" s="111">
        <v>497</v>
      </c>
      <c r="G103" s="111">
        <v>146</v>
      </c>
      <c r="H103" s="111">
        <v>11559</v>
      </c>
      <c r="I103" s="116"/>
      <c r="J103" s="116"/>
      <c r="K103" s="116"/>
      <c r="L103" s="117"/>
      <c r="M103" s="355" t="s">
        <v>462</v>
      </c>
      <c r="N103" s="369">
        <v>23.8</v>
      </c>
      <c r="O103" s="370">
        <v>2.14</v>
      </c>
      <c r="P103" s="371">
        <v>765</v>
      </c>
      <c r="Q103" s="370">
        <v>1.48</v>
      </c>
      <c r="R103" s="375">
        <v>62</v>
      </c>
      <c r="S103" s="375">
        <v>29</v>
      </c>
      <c r="T103" s="375">
        <v>81.099999999999994</v>
      </c>
      <c r="U103" s="386">
        <v>29.24</v>
      </c>
      <c r="V103" s="371">
        <v>1228</v>
      </c>
      <c r="W103" s="371">
        <v>575</v>
      </c>
      <c r="X103" s="386">
        <v>1.61</v>
      </c>
    </row>
    <row r="104" spans="1:24" ht="10.25" customHeight="1" x14ac:dyDescent="0.15">
      <c r="A104" s="118" t="s">
        <v>175</v>
      </c>
      <c r="B104" s="111">
        <v>376</v>
      </c>
      <c r="C104" s="111">
        <v>6941</v>
      </c>
      <c r="D104" s="112">
        <v>18.5</v>
      </c>
      <c r="E104" s="111">
        <v>1579</v>
      </c>
      <c r="F104" s="111">
        <v>523</v>
      </c>
      <c r="G104" s="111">
        <v>153</v>
      </c>
      <c r="H104" s="111">
        <v>11188</v>
      </c>
      <c r="I104" s="116"/>
      <c r="J104" s="116"/>
      <c r="K104" s="116"/>
      <c r="L104" s="117"/>
      <c r="M104" s="355" t="s">
        <v>463</v>
      </c>
      <c r="N104" s="369">
        <v>20.8</v>
      </c>
      <c r="O104" s="370">
        <v>2.66</v>
      </c>
      <c r="P104" s="371">
        <v>1235</v>
      </c>
      <c r="Q104" s="370">
        <v>1.71</v>
      </c>
      <c r="R104" s="375">
        <v>82</v>
      </c>
      <c r="S104" s="375">
        <v>30.9</v>
      </c>
      <c r="T104" s="375">
        <v>66.400000000000006</v>
      </c>
      <c r="U104" s="386">
        <v>32.94</v>
      </c>
      <c r="V104" s="371">
        <v>1583</v>
      </c>
      <c r="W104" s="371">
        <v>596</v>
      </c>
      <c r="X104" s="386">
        <v>1.28</v>
      </c>
    </row>
    <row r="105" spans="1:24" ht="10.25" customHeight="1" x14ac:dyDescent="0.15">
      <c r="A105" s="118" t="s">
        <v>176</v>
      </c>
      <c r="B105" s="111">
        <v>422</v>
      </c>
      <c r="C105" s="111">
        <v>12881</v>
      </c>
      <c r="D105" s="112">
        <v>30.5</v>
      </c>
      <c r="E105" s="111">
        <v>2813</v>
      </c>
      <c r="F105" s="111">
        <v>932</v>
      </c>
      <c r="G105" s="111">
        <v>273</v>
      </c>
      <c r="H105" s="111">
        <v>19987</v>
      </c>
      <c r="I105" s="116"/>
      <c r="J105" s="116"/>
      <c r="K105" s="116"/>
      <c r="L105" s="117"/>
      <c r="M105" s="355" t="s">
        <v>464</v>
      </c>
      <c r="N105" s="369">
        <v>15.4</v>
      </c>
      <c r="O105" s="370">
        <v>2.67</v>
      </c>
      <c r="P105" s="371">
        <v>1745</v>
      </c>
      <c r="Q105" s="370">
        <v>1.45</v>
      </c>
      <c r="R105" s="375">
        <v>93.8</v>
      </c>
      <c r="S105" s="375">
        <v>35.1</v>
      </c>
      <c r="T105" s="375">
        <v>53.8</v>
      </c>
      <c r="U105" s="386">
        <v>27.72</v>
      </c>
      <c r="V105" s="371">
        <v>1798</v>
      </c>
      <c r="W105" s="371">
        <v>673</v>
      </c>
      <c r="X105" s="386">
        <v>1.03</v>
      </c>
    </row>
    <row r="106" spans="1:24" ht="10.25" customHeight="1" x14ac:dyDescent="0.15">
      <c r="A106" s="114"/>
      <c r="B106" s="111"/>
      <c r="C106" s="111"/>
      <c r="D106" s="112"/>
      <c r="E106" s="111"/>
      <c r="F106" s="111"/>
      <c r="G106" s="111"/>
      <c r="H106" s="111"/>
      <c r="I106" s="116"/>
      <c r="J106" s="116"/>
      <c r="K106" s="116"/>
      <c r="L106" s="117"/>
      <c r="M106" s="355" t="s">
        <v>465</v>
      </c>
      <c r="N106" s="369">
        <v>12.2</v>
      </c>
      <c r="O106" s="370">
        <v>2.68</v>
      </c>
      <c r="P106" s="371">
        <v>2233</v>
      </c>
      <c r="Q106" s="370">
        <v>1.25</v>
      </c>
      <c r="R106" s="375">
        <v>102.3</v>
      </c>
      <c r="S106" s="375">
        <v>38.200000000000003</v>
      </c>
      <c r="T106" s="375">
        <v>45.8</v>
      </c>
      <c r="U106" s="386">
        <v>23.72</v>
      </c>
      <c r="V106" s="371">
        <v>1939</v>
      </c>
      <c r="W106" s="371">
        <v>723</v>
      </c>
      <c r="X106" s="386">
        <v>0.87</v>
      </c>
    </row>
    <row r="107" spans="1:24" ht="10.25" customHeight="1" x14ac:dyDescent="0.15">
      <c r="A107" s="115" t="s">
        <v>177</v>
      </c>
      <c r="B107" s="111"/>
      <c r="C107" s="111"/>
      <c r="D107" s="112"/>
      <c r="E107" s="111"/>
      <c r="F107" s="111"/>
      <c r="G107" s="111"/>
      <c r="H107" s="111"/>
      <c r="I107" s="116"/>
      <c r="J107" s="116"/>
      <c r="K107" s="116"/>
      <c r="L107" s="117"/>
      <c r="M107" s="355" t="s">
        <v>466</v>
      </c>
      <c r="N107" s="369">
        <v>10.3</v>
      </c>
      <c r="O107" s="370">
        <v>2.69</v>
      </c>
      <c r="P107" s="371">
        <v>2735</v>
      </c>
      <c r="Q107" s="370">
        <v>1.1599999999999999</v>
      </c>
      <c r="R107" s="375">
        <v>112.2</v>
      </c>
      <c r="S107" s="375">
        <v>41.7</v>
      </c>
      <c r="T107" s="375">
        <v>41</v>
      </c>
      <c r="U107" s="386">
        <v>22.04</v>
      </c>
      <c r="V107" s="371">
        <v>2138</v>
      </c>
      <c r="W107" s="371">
        <v>795</v>
      </c>
      <c r="X107" s="386">
        <v>0.78</v>
      </c>
    </row>
    <row r="108" spans="1:24" ht="10.25" customHeight="1" x14ac:dyDescent="0.15">
      <c r="A108" s="118" t="s">
        <v>178</v>
      </c>
      <c r="B108" s="111">
        <v>3783</v>
      </c>
      <c r="C108" s="111">
        <v>48012</v>
      </c>
      <c r="D108" s="112">
        <v>12.7</v>
      </c>
      <c r="E108" s="111">
        <v>6944</v>
      </c>
      <c r="F108" s="111">
        <v>2300</v>
      </c>
      <c r="G108" s="111">
        <v>674</v>
      </c>
      <c r="H108" s="111">
        <v>54122</v>
      </c>
      <c r="I108" s="116"/>
      <c r="J108" s="116"/>
      <c r="K108" s="116"/>
      <c r="L108" s="117"/>
      <c r="M108" s="355" t="s">
        <v>467</v>
      </c>
      <c r="N108" s="369">
        <v>6.7</v>
      </c>
      <c r="O108" s="370">
        <v>2.57</v>
      </c>
      <c r="P108" s="371">
        <v>3239</v>
      </c>
      <c r="Q108" s="370">
        <v>0.78</v>
      </c>
      <c r="R108" s="375">
        <v>115.6</v>
      </c>
      <c r="S108" s="375">
        <v>45</v>
      </c>
      <c r="T108" s="375">
        <v>35.700000000000003</v>
      </c>
      <c r="U108" s="386">
        <v>14.58</v>
      </c>
      <c r="V108" s="371">
        <v>2172</v>
      </c>
      <c r="W108" s="371">
        <v>846</v>
      </c>
      <c r="X108" s="386">
        <v>0.67</v>
      </c>
    </row>
    <row r="109" spans="1:24" ht="10.25" customHeight="1" x14ac:dyDescent="0.15">
      <c r="A109" s="118" t="s">
        <v>179</v>
      </c>
      <c r="B109" s="111">
        <v>1817</v>
      </c>
      <c r="C109" s="111">
        <v>23454</v>
      </c>
      <c r="D109" s="112">
        <v>12.9</v>
      </c>
      <c r="E109" s="111">
        <v>3280</v>
      </c>
      <c r="F109" s="111">
        <v>1086</v>
      </c>
      <c r="G109" s="111">
        <v>318</v>
      </c>
      <c r="H109" s="111">
        <v>25441</v>
      </c>
      <c r="I109" s="116"/>
      <c r="J109" s="116"/>
      <c r="K109" s="116"/>
      <c r="L109" s="117"/>
      <c r="M109" s="355" t="s">
        <v>468</v>
      </c>
      <c r="N109" s="369">
        <v>5.2</v>
      </c>
      <c r="O109" s="370">
        <v>2.64</v>
      </c>
      <c r="P109" s="371">
        <v>3742</v>
      </c>
      <c r="Q109" s="370">
        <v>0.68</v>
      </c>
      <c r="R109" s="375">
        <v>129.19999999999999</v>
      </c>
      <c r="S109" s="375">
        <v>48.9</v>
      </c>
      <c r="T109" s="375">
        <v>34.5</v>
      </c>
      <c r="U109" s="386">
        <v>12.11</v>
      </c>
      <c r="V109" s="371">
        <v>2315</v>
      </c>
      <c r="W109" s="371">
        <v>877</v>
      </c>
      <c r="X109" s="386">
        <v>0.62</v>
      </c>
    </row>
    <row r="110" spans="1:24" ht="10.25" customHeight="1" x14ac:dyDescent="0.15">
      <c r="A110" s="118" t="s">
        <v>180</v>
      </c>
      <c r="B110" s="111">
        <v>1885</v>
      </c>
      <c r="C110" s="111">
        <v>23258</v>
      </c>
      <c r="D110" s="112">
        <v>12.3</v>
      </c>
      <c r="E110" s="111">
        <v>3639</v>
      </c>
      <c r="F110" s="111">
        <v>1205</v>
      </c>
      <c r="G110" s="111">
        <v>353</v>
      </c>
      <c r="H110" s="111">
        <v>28446</v>
      </c>
      <c r="I110" s="116"/>
      <c r="J110" s="116"/>
      <c r="K110" s="116"/>
      <c r="L110" s="117"/>
      <c r="M110" s="355" t="s">
        <v>469</v>
      </c>
      <c r="N110" s="369">
        <v>13.3</v>
      </c>
      <c r="O110" s="370">
        <v>3.02</v>
      </c>
      <c r="P110" s="371">
        <v>5421</v>
      </c>
      <c r="Q110" s="370">
        <v>1.87</v>
      </c>
      <c r="R110" s="375">
        <v>140.4</v>
      </c>
      <c r="S110" s="375">
        <v>46.5</v>
      </c>
      <c r="T110" s="375">
        <v>25.9</v>
      </c>
      <c r="U110" s="386">
        <v>35.200000000000003</v>
      </c>
      <c r="V110" s="371">
        <v>2639</v>
      </c>
      <c r="W110" s="371">
        <v>874</v>
      </c>
      <c r="X110" s="386">
        <v>0.49</v>
      </c>
    </row>
    <row r="111" spans="1:24" ht="10.25" customHeight="1" x14ac:dyDescent="0.15">
      <c r="A111" s="118" t="s">
        <v>181</v>
      </c>
      <c r="B111" s="111">
        <v>81</v>
      </c>
      <c r="C111" s="111">
        <v>1299</v>
      </c>
      <c r="D111" s="112">
        <v>16</v>
      </c>
      <c r="E111" s="111">
        <v>25</v>
      </c>
      <c r="F111" s="111">
        <v>8</v>
      </c>
      <c r="G111" s="111">
        <v>2</v>
      </c>
      <c r="H111" s="111" t="s">
        <v>182</v>
      </c>
      <c r="I111" s="116"/>
      <c r="J111" s="116"/>
      <c r="K111" s="116"/>
      <c r="L111" s="117"/>
      <c r="M111" s="355"/>
      <c r="N111" s="369"/>
      <c r="O111" s="370"/>
      <c r="P111" s="371"/>
      <c r="Q111" s="370"/>
      <c r="R111" s="375"/>
      <c r="S111" s="375"/>
      <c r="T111" s="375"/>
      <c r="U111" s="386"/>
      <c r="V111" s="371"/>
      <c r="W111" s="371"/>
      <c r="X111" s="386"/>
    </row>
    <row r="112" spans="1:24" ht="10.25" customHeight="1" x14ac:dyDescent="0.15">
      <c r="A112" s="118" t="s">
        <v>183</v>
      </c>
      <c r="B112" s="111">
        <v>620</v>
      </c>
      <c r="C112" s="111">
        <v>15295</v>
      </c>
      <c r="D112" s="112">
        <v>24.7</v>
      </c>
      <c r="E112" s="111">
        <v>2224</v>
      </c>
      <c r="F112" s="111">
        <v>737</v>
      </c>
      <c r="G112" s="111">
        <v>216</v>
      </c>
      <c r="H112" s="111">
        <v>14910</v>
      </c>
      <c r="I112" s="116"/>
      <c r="J112" s="116"/>
      <c r="K112" s="116"/>
      <c r="L112" s="117"/>
      <c r="M112" s="354" t="s">
        <v>1308</v>
      </c>
      <c r="N112" s="369"/>
      <c r="O112" s="370"/>
      <c r="P112" s="371"/>
      <c r="Q112" s="370"/>
      <c r="R112" s="375"/>
      <c r="S112" s="375"/>
      <c r="T112" s="375"/>
      <c r="U112" s="386"/>
      <c r="V112" s="371"/>
      <c r="W112" s="371"/>
      <c r="X112" s="386"/>
    </row>
    <row r="113" spans="1:24" ht="10.25" customHeight="1" x14ac:dyDescent="0.15">
      <c r="A113" s="118" t="s">
        <v>184</v>
      </c>
      <c r="B113" s="111">
        <v>46</v>
      </c>
      <c r="C113" s="111">
        <v>1951</v>
      </c>
      <c r="D113" s="112">
        <v>42.8</v>
      </c>
      <c r="E113" s="111">
        <v>395</v>
      </c>
      <c r="F113" s="111">
        <v>131</v>
      </c>
      <c r="G113" s="111">
        <v>38</v>
      </c>
      <c r="H113" s="111">
        <v>2159</v>
      </c>
      <c r="I113" s="116"/>
      <c r="J113" s="116"/>
      <c r="K113" s="116"/>
      <c r="L113" s="117"/>
      <c r="M113" s="365" t="s">
        <v>1309</v>
      </c>
      <c r="N113" s="369"/>
      <c r="O113" s="370"/>
      <c r="P113" s="371"/>
      <c r="Q113" s="370"/>
      <c r="R113" s="375"/>
      <c r="S113" s="375"/>
      <c r="T113" s="375"/>
      <c r="U113" s="386"/>
      <c r="V113" s="371"/>
      <c r="W113" s="371"/>
      <c r="X113" s="386"/>
    </row>
    <row r="114" spans="1:24" ht="10.25" customHeight="1" x14ac:dyDescent="0.15">
      <c r="A114" s="118" t="s">
        <v>185</v>
      </c>
      <c r="B114" s="111">
        <v>163</v>
      </c>
      <c r="C114" s="111">
        <v>3786</v>
      </c>
      <c r="D114" s="112">
        <v>23.2</v>
      </c>
      <c r="E114" s="111">
        <v>616</v>
      </c>
      <c r="F114" s="111">
        <v>204</v>
      </c>
      <c r="G114" s="111">
        <v>60</v>
      </c>
      <c r="H114" s="111">
        <v>3973</v>
      </c>
      <c r="I114" s="116"/>
      <c r="J114" s="116"/>
      <c r="K114" s="116"/>
      <c r="L114" s="117"/>
      <c r="M114" s="356" t="s">
        <v>492</v>
      </c>
      <c r="N114" s="369">
        <v>8.9</v>
      </c>
      <c r="O114" s="370">
        <v>2.81</v>
      </c>
      <c r="P114" s="371">
        <v>2904</v>
      </c>
      <c r="Q114" s="370">
        <v>1.04</v>
      </c>
      <c r="R114" s="375">
        <v>117.2</v>
      </c>
      <c r="S114" s="375">
        <v>41.8</v>
      </c>
      <c r="T114" s="375">
        <v>40.4</v>
      </c>
      <c r="U114" s="386">
        <v>20.49</v>
      </c>
      <c r="V114" s="371">
        <v>2307</v>
      </c>
      <c r="W114" s="371">
        <v>822</v>
      </c>
      <c r="X114" s="386">
        <v>0.79</v>
      </c>
    </row>
    <row r="115" spans="1:24" ht="10.25" customHeight="1" x14ac:dyDescent="0.15">
      <c r="A115" s="118" t="s">
        <v>186</v>
      </c>
      <c r="B115" s="111">
        <v>411</v>
      </c>
      <c r="C115" s="111">
        <v>9558</v>
      </c>
      <c r="D115" s="112">
        <v>23.2</v>
      </c>
      <c r="E115" s="111">
        <v>1213</v>
      </c>
      <c r="F115" s="111">
        <v>402</v>
      </c>
      <c r="G115" s="111">
        <v>118</v>
      </c>
      <c r="H115" s="111">
        <v>8777</v>
      </c>
      <c r="I115" s="116"/>
      <c r="J115" s="116"/>
      <c r="K115" s="116"/>
      <c r="L115" s="117"/>
      <c r="M115" s="356" t="s">
        <v>493</v>
      </c>
      <c r="N115" s="369">
        <v>102.2</v>
      </c>
      <c r="O115" s="370">
        <v>2.5499999999999998</v>
      </c>
      <c r="P115" s="371">
        <v>2107</v>
      </c>
      <c r="Q115" s="370">
        <v>9.5</v>
      </c>
      <c r="R115" s="375">
        <v>93</v>
      </c>
      <c r="S115" s="375">
        <v>36.5</v>
      </c>
      <c r="T115" s="375">
        <v>44.1</v>
      </c>
      <c r="U115" s="386">
        <v>180.58</v>
      </c>
      <c r="V115" s="371">
        <v>1767</v>
      </c>
      <c r="W115" s="371">
        <v>693</v>
      </c>
      <c r="X115" s="386">
        <v>0.84</v>
      </c>
    </row>
    <row r="116" spans="1:24" ht="10.25" customHeight="1" x14ac:dyDescent="0.15">
      <c r="A116" s="114"/>
      <c r="B116" s="111"/>
      <c r="C116" s="111"/>
      <c r="D116" s="112"/>
      <c r="E116" s="111"/>
      <c r="F116" s="111"/>
      <c r="G116" s="111"/>
      <c r="H116" s="111"/>
      <c r="I116" s="116"/>
      <c r="J116" s="116"/>
      <c r="K116" s="116"/>
      <c r="L116" s="117"/>
      <c r="M116" s="365" t="s">
        <v>1310</v>
      </c>
      <c r="N116" s="369"/>
      <c r="O116" s="370"/>
      <c r="P116" s="371"/>
      <c r="Q116" s="370"/>
      <c r="R116" s="375"/>
      <c r="S116" s="375"/>
      <c r="T116" s="375"/>
      <c r="U116" s="386"/>
      <c r="V116" s="371"/>
      <c r="W116" s="371"/>
      <c r="X116" s="386"/>
    </row>
    <row r="117" spans="1:24" ht="10.25" customHeight="1" x14ac:dyDescent="0.15">
      <c r="A117" s="115" t="s">
        <v>187</v>
      </c>
      <c r="B117" s="111"/>
      <c r="C117" s="111"/>
      <c r="D117" s="112"/>
      <c r="E117" s="111"/>
      <c r="F117" s="111"/>
      <c r="G117" s="111"/>
      <c r="H117" s="111"/>
      <c r="I117" s="116"/>
      <c r="J117" s="116"/>
      <c r="K117" s="116"/>
      <c r="L117" s="117"/>
      <c r="M117" s="368" t="s">
        <v>492</v>
      </c>
      <c r="N117" s="369">
        <v>2.2000000000000002</v>
      </c>
      <c r="O117" s="370">
        <v>2.82</v>
      </c>
      <c r="P117" s="371">
        <v>2437</v>
      </c>
      <c r="Q117" s="370">
        <v>0.25</v>
      </c>
      <c r="R117" s="375">
        <v>110.9</v>
      </c>
      <c r="S117" s="375">
        <v>39.4</v>
      </c>
      <c r="T117" s="375">
        <v>45.5</v>
      </c>
      <c r="U117" s="386">
        <v>4.7699999999999996</v>
      </c>
      <c r="V117" s="371">
        <v>2153</v>
      </c>
      <c r="W117" s="371">
        <v>764</v>
      </c>
      <c r="X117" s="386">
        <v>0.88</v>
      </c>
    </row>
    <row r="118" spans="1:24" ht="10.25" customHeight="1" x14ac:dyDescent="0.15">
      <c r="A118" s="118" t="s">
        <v>188</v>
      </c>
      <c r="B118" s="111">
        <v>85</v>
      </c>
      <c r="C118" s="111">
        <v>1489</v>
      </c>
      <c r="D118" s="112">
        <v>17.5</v>
      </c>
      <c r="E118" s="111">
        <v>28</v>
      </c>
      <c r="F118" s="111">
        <v>9</v>
      </c>
      <c r="G118" s="111">
        <v>3</v>
      </c>
      <c r="H118" s="111">
        <v>258</v>
      </c>
      <c r="I118" s="116"/>
      <c r="J118" s="116"/>
      <c r="K118" s="116"/>
      <c r="L118" s="117"/>
      <c r="M118" s="368" t="s">
        <v>493</v>
      </c>
      <c r="N118" s="369">
        <v>108.9</v>
      </c>
      <c r="O118" s="370">
        <v>2.56</v>
      </c>
      <c r="P118" s="371">
        <v>2165</v>
      </c>
      <c r="Q118" s="370">
        <v>10.3</v>
      </c>
      <c r="R118" s="375">
        <v>94.6</v>
      </c>
      <c r="S118" s="375">
        <v>36.9</v>
      </c>
      <c r="T118" s="375">
        <v>43.7</v>
      </c>
      <c r="U118" s="386">
        <v>196.3</v>
      </c>
      <c r="V118" s="371">
        <v>1803</v>
      </c>
      <c r="W118" s="371">
        <v>703</v>
      </c>
      <c r="X118" s="386">
        <v>0.83</v>
      </c>
    </row>
    <row r="119" spans="1:24" ht="10.25" customHeight="1" x14ac:dyDescent="0.15">
      <c r="A119" s="118" t="s">
        <v>189</v>
      </c>
      <c r="B119" s="111" t="s">
        <v>182</v>
      </c>
      <c r="C119" s="111" t="s">
        <v>182</v>
      </c>
      <c r="D119" s="112" t="s">
        <v>182</v>
      </c>
      <c r="E119" s="111" t="s">
        <v>182</v>
      </c>
      <c r="F119" s="111" t="s">
        <v>182</v>
      </c>
      <c r="G119" s="111" t="s">
        <v>182</v>
      </c>
      <c r="H119" s="111" t="s">
        <v>182</v>
      </c>
      <c r="I119" s="116"/>
      <c r="J119" s="116"/>
      <c r="K119" s="116"/>
      <c r="L119" s="117"/>
      <c r="M119" s="365" t="s">
        <v>1311</v>
      </c>
      <c r="N119" s="372"/>
      <c r="O119" s="373"/>
      <c r="P119" s="374"/>
      <c r="Q119" s="373"/>
      <c r="R119" s="376"/>
      <c r="S119" s="376"/>
      <c r="T119" s="376"/>
      <c r="U119" s="388"/>
      <c r="V119" s="374"/>
      <c r="W119" s="371"/>
      <c r="X119" s="386"/>
    </row>
    <row r="120" spans="1:24" ht="10.25" customHeight="1" x14ac:dyDescent="0.15">
      <c r="A120" s="118" t="s">
        <v>190</v>
      </c>
      <c r="B120" s="111">
        <v>499</v>
      </c>
      <c r="C120" s="111">
        <v>12199</v>
      </c>
      <c r="D120" s="112">
        <v>24.4</v>
      </c>
      <c r="E120" s="111">
        <v>1736</v>
      </c>
      <c r="F120" s="111">
        <v>575</v>
      </c>
      <c r="G120" s="111">
        <v>169</v>
      </c>
      <c r="H120" s="111">
        <v>13209</v>
      </c>
      <c r="I120" s="116"/>
      <c r="J120" s="116"/>
      <c r="K120" s="116"/>
      <c r="L120" s="117"/>
      <c r="M120" s="356" t="s">
        <v>492</v>
      </c>
      <c r="N120" s="369">
        <v>56.4</v>
      </c>
      <c r="O120" s="370">
        <v>2.72</v>
      </c>
      <c r="P120" s="371">
        <v>2207</v>
      </c>
      <c r="Q120" s="370">
        <v>5.59</v>
      </c>
      <c r="R120" s="375">
        <v>99.2</v>
      </c>
      <c r="S120" s="375">
        <v>36.4</v>
      </c>
      <c r="T120" s="375">
        <v>45</v>
      </c>
      <c r="U120" s="386">
        <v>106.35</v>
      </c>
      <c r="V120" s="371">
        <v>1886</v>
      </c>
      <c r="W120" s="371">
        <v>693</v>
      </c>
      <c r="X120" s="386">
        <v>0.85</v>
      </c>
    </row>
    <row r="121" spans="1:24" ht="10.25" customHeight="1" x14ac:dyDescent="0.15">
      <c r="A121" s="118" t="s">
        <v>191</v>
      </c>
      <c r="B121" s="111">
        <v>3798</v>
      </c>
      <c r="C121" s="111">
        <v>49262</v>
      </c>
      <c r="D121" s="112">
        <v>13</v>
      </c>
      <c r="E121" s="111">
        <v>7386</v>
      </c>
      <c r="F121" s="111">
        <v>2446</v>
      </c>
      <c r="G121" s="111">
        <v>717</v>
      </c>
      <c r="H121" s="111">
        <v>55411</v>
      </c>
      <c r="I121" s="116"/>
      <c r="J121" s="116"/>
      <c r="K121" s="116"/>
      <c r="L121" s="117"/>
      <c r="M121" s="356" t="s">
        <v>493</v>
      </c>
      <c r="N121" s="369">
        <v>54.7</v>
      </c>
      <c r="O121" s="370">
        <v>2.41</v>
      </c>
      <c r="P121" s="371">
        <v>2134</v>
      </c>
      <c r="Q121" s="370">
        <v>4.95</v>
      </c>
      <c r="R121" s="375">
        <v>90.5</v>
      </c>
      <c r="S121" s="375">
        <v>37.6</v>
      </c>
      <c r="T121" s="375">
        <v>42.4</v>
      </c>
      <c r="U121" s="386">
        <v>94.71</v>
      </c>
      <c r="V121" s="371">
        <v>1732</v>
      </c>
      <c r="W121" s="371">
        <v>718</v>
      </c>
      <c r="X121" s="386">
        <v>0.81</v>
      </c>
    </row>
    <row r="122" spans="1:24" ht="10.25" customHeight="1" x14ac:dyDescent="0.15">
      <c r="A122" s="114"/>
      <c r="B122" s="111"/>
      <c r="C122" s="111"/>
      <c r="D122" s="112"/>
      <c r="E122" s="111"/>
      <c r="F122" s="111"/>
      <c r="G122" s="111"/>
      <c r="H122" s="111"/>
      <c r="I122" s="116"/>
      <c r="J122" s="116"/>
      <c r="K122" s="116"/>
      <c r="L122" s="117"/>
      <c r="M122" s="364"/>
      <c r="N122" s="380"/>
      <c r="O122" s="381"/>
      <c r="P122" s="382"/>
      <c r="Q122" s="381"/>
      <c r="R122" s="377"/>
      <c r="S122" s="377"/>
      <c r="T122" s="377"/>
      <c r="U122" s="389"/>
      <c r="V122" s="382"/>
      <c r="W122" s="382"/>
      <c r="X122" s="389"/>
    </row>
    <row r="123" spans="1:24" ht="10.25" customHeight="1" x14ac:dyDescent="0.15">
      <c r="A123" s="115" t="s">
        <v>192</v>
      </c>
      <c r="B123" s="111"/>
      <c r="C123" s="111"/>
      <c r="D123" s="112"/>
      <c r="E123" s="111"/>
      <c r="F123" s="111"/>
      <c r="G123" s="111"/>
      <c r="H123" s="111"/>
      <c r="I123" s="116"/>
      <c r="J123" s="116"/>
      <c r="K123" s="116"/>
      <c r="L123" s="117"/>
      <c r="M123" s="1344" t="s">
        <v>1312</v>
      </c>
      <c r="N123" s="1344"/>
      <c r="O123" s="1344"/>
      <c r="P123" s="1344"/>
      <c r="Q123" s="1344"/>
      <c r="R123" s="1344"/>
      <c r="S123" s="1344"/>
      <c r="T123" s="1344"/>
      <c r="U123" s="1345"/>
      <c r="V123" s="1345"/>
      <c r="W123" s="1345"/>
      <c r="X123" s="1345"/>
    </row>
    <row r="124" spans="1:24" ht="10.25" customHeight="1" x14ac:dyDescent="0.15">
      <c r="A124" s="118" t="s">
        <v>149</v>
      </c>
      <c r="B124" s="111">
        <v>3591</v>
      </c>
      <c r="C124" s="111">
        <v>44379</v>
      </c>
      <c r="D124" s="112">
        <v>12.4</v>
      </c>
      <c r="E124" s="111">
        <v>6454</v>
      </c>
      <c r="F124" s="111">
        <v>2138</v>
      </c>
      <c r="G124" s="111">
        <v>627</v>
      </c>
      <c r="H124" s="111">
        <v>48376</v>
      </c>
      <c r="I124" s="116"/>
      <c r="J124" s="116"/>
      <c r="K124" s="116"/>
      <c r="L124" s="117"/>
      <c r="M124" s="1344"/>
      <c r="N124" s="1344"/>
      <c r="O124" s="1344"/>
      <c r="P124" s="1344"/>
      <c r="Q124" s="1344"/>
      <c r="R124" s="1344"/>
      <c r="S124" s="1344"/>
      <c r="T124" s="1344"/>
      <c r="U124" s="1345"/>
      <c r="V124" s="1345"/>
      <c r="W124" s="1345"/>
      <c r="X124" s="1345"/>
    </row>
    <row r="125" spans="1:24" ht="10.25" customHeight="1" x14ac:dyDescent="0.15">
      <c r="A125" s="118" t="s">
        <v>193</v>
      </c>
      <c r="B125" s="111">
        <v>635</v>
      </c>
      <c r="C125" s="111">
        <v>10921</v>
      </c>
      <c r="D125" s="112">
        <v>17.2</v>
      </c>
      <c r="E125" s="111">
        <v>1517</v>
      </c>
      <c r="F125" s="111">
        <v>502</v>
      </c>
      <c r="G125" s="111">
        <v>147</v>
      </c>
      <c r="H125" s="111">
        <v>11440</v>
      </c>
      <c r="I125" s="116"/>
      <c r="J125" s="116"/>
      <c r="K125" s="116"/>
      <c r="L125" s="117"/>
      <c r="M125" s="1344"/>
      <c r="N125" s="1344"/>
      <c r="O125" s="1344"/>
      <c r="P125" s="1344"/>
      <c r="Q125" s="1344"/>
      <c r="R125" s="1344"/>
      <c r="S125" s="1344"/>
      <c r="T125" s="1344"/>
      <c r="U125" s="1345"/>
      <c r="V125" s="1345"/>
      <c r="W125" s="1345"/>
      <c r="X125" s="1345"/>
    </row>
    <row r="126" spans="1:24" ht="10.25" customHeight="1" x14ac:dyDescent="0.15">
      <c r="A126" s="118" t="s">
        <v>194</v>
      </c>
      <c r="B126" s="111">
        <v>55</v>
      </c>
      <c r="C126" s="111">
        <v>1958</v>
      </c>
      <c r="D126" s="112">
        <v>35.700000000000003</v>
      </c>
      <c r="E126" s="111">
        <v>348</v>
      </c>
      <c r="F126" s="111">
        <v>115</v>
      </c>
      <c r="G126" s="111">
        <v>34</v>
      </c>
      <c r="H126" s="111">
        <v>2632</v>
      </c>
      <c r="I126" s="116"/>
      <c r="J126" s="116"/>
      <c r="K126" s="116"/>
      <c r="L126" s="117"/>
      <c r="M126" s="1346"/>
      <c r="N126" s="1346"/>
      <c r="O126" s="1346"/>
      <c r="P126" s="1346"/>
      <c r="Q126" s="1346"/>
      <c r="R126" s="1346"/>
      <c r="S126" s="1346"/>
      <c r="T126" s="1346"/>
      <c r="U126" s="1345"/>
      <c r="V126" s="1345"/>
      <c r="W126" s="1345"/>
      <c r="X126" s="1345"/>
    </row>
    <row r="127" spans="1:24" ht="10.25" customHeight="1" x14ac:dyDescent="0.15">
      <c r="A127" s="118" t="s">
        <v>195</v>
      </c>
      <c r="B127" s="111">
        <v>23</v>
      </c>
      <c r="C127" s="111">
        <v>1951</v>
      </c>
      <c r="D127" s="112">
        <v>85.7</v>
      </c>
      <c r="E127" s="111">
        <v>295</v>
      </c>
      <c r="F127" s="111">
        <v>98</v>
      </c>
      <c r="G127" s="111">
        <v>29</v>
      </c>
      <c r="H127" s="111">
        <v>2268</v>
      </c>
      <c r="I127" s="116"/>
      <c r="J127" s="116"/>
      <c r="K127" s="116"/>
      <c r="L127" s="117"/>
      <c r="M127" s="1346"/>
      <c r="N127" s="1346"/>
      <c r="O127" s="1346"/>
      <c r="P127" s="1346"/>
      <c r="Q127" s="1346"/>
      <c r="R127" s="1346"/>
      <c r="S127" s="1346"/>
      <c r="T127" s="1346"/>
      <c r="U127" s="1345"/>
      <c r="V127" s="1345"/>
      <c r="W127" s="1345"/>
      <c r="X127" s="1345"/>
    </row>
    <row r="128" spans="1:24" ht="10.25" customHeight="1" x14ac:dyDescent="0.15">
      <c r="A128" s="118" t="s">
        <v>196</v>
      </c>
      <c r="B128" s="111">
        <v>14</v>
      </c>
      <c r="C128" s="111">
        <v>2609</v>
      </c>
      <c r="D128" s="112">
        <v>181.1</v>
      </c>
      <c r="E128" s="111">
        <v>526</v>
      </c>
      <c r="F128" s="111">
        <v>174</v>
      </c>
      <c r="G128" s="111">
        <v>51</v>
      </c>
      <c r="H128" s="111">
        <v>4057</v>
      </c>
      <c r="I128" s="116"/>
      <c r="J128" s="116"/>
      <c r="K128" s="116"/>
      <c r="L128" s="117"/>
      <c r="M128" s="1346"/>
      <c r="N128" s="1346"/>
      <c r="O128" s="1346"/>
      <c r="P128" s="1346"/>
      <c r="Q128" s="1346"/>
      <c r="R128" s="1346"/>
      <c r="S128" s="1346"/>
      <c r="T128" s="1346"/>
      <c r="U128" s="1345"/>
      <c r="V128" s="1345"/>
      <c r="W128" s="1345"/>
      <c r="X128" s="1345"/>
    </row>
    <row r="129" spans="1:24" ht="10.25" customHeight="1" x14ac:dyDescent="0.15">
      <c r="A129" s="118" t="s">
        <v>197</v>
      </c>
      <c r="B129" s="111">
        <v>85</v>
      </c>
      <c r="C129" s="111">
        <v>1489</v>
      </c>
      <c r="D129" s="112">
        <v>17.5</v>
      </c>
      <c r="E129" s="111">
        <v>28</v>
      </c>
      <c r="F129" s="111">
        <v>9</v>
      </c>
      <c r="G129" s="111">
        <v>3</v>
      </c>
      <c r="H129" s="111">
        <v>258</v>
      </c>
      <c r="I129" s="116"/>
      <c r="J129" s="116"/>
      <c r="K129" s="116"/>
      <c r="L129" s="117"/>
      <c r="M129" s="1346"/>
      <c r="N129" s="1346"/>
      <c r="O129" s="1346"/>
      <c r="P129" s="1346"/>
      <c r="Q129" s="1346"/>
      <c r="R129" s="1346"/>
      <c r="S129" s="1346"/>
      <c r="T129" s="1346"/>
      <c r="U129" s="1345"/>
      <c r="V129" s="1345"/>
      <c r="W129" s="1345"/>
      <c r="X129" s="1345"/>
    </row>
    <row r="130" spans="1:24" ht="10.25" customHeight="1" x14ac:dyDescent="0.15">
      <c r="A130" s="114"/>
      <c r="B130" s="111"/>
      <c r="C130" s="111"/>
      <c r="D130" s="112"/>
      <c r="E130" s="111"/>
      <c r="F130" s="111"/>
      <c r="G130" s="111"/>
      <c r="H130" s="111"/>
      <c r="I130" s="116"/>
      <c r="J130" s="116"/>
      <c r="K130" s="116"/>
      <c r="L130" s="117"/>
      <c r="M130" s="1346"/>
      <c r="N130" s="1346"/>
      <c r="O130" s="1346"/>
      <c r="P130" s="1346"/>
      <c r="Q130" s="1346"/>
      <c r="R130" s="1346"/>
      <c r="S130" s="1346"/>
      <c r="T130" s="1346"/>
      <c r="U130" s="1345"/>
      <c r="V130" s="1345"/>
      <c r="W130" s="1345"/>
      <c r="X130" s="1345"/>
    </row>
    <row r="131" spans="1:24" ht="10.25" customHeight="1" x14ac:dyDescent="0.15">
      <c r="A131" s="115" t="s">
        <v>198</v>
      </c>
      <c r="B131" s="111"/>
      <c r="C131" s="111"/>
      <c r="D131" s="112"/>
      <c r="E131" s="111"/>
      <c r="F131" s="111"/>
      <c r="G131" s="111"/>
      <c r="H131" s="111"/>
      <c r="I131" s="116"/>
      <c r="J131" s="116"/>
      <c r="K131" s="116"/>
      <c r="L131" s="117"/>
      <c r="M131" s="1346"/>
      <c r="N131" s="1346"/>
      <c r="O131" s="1346"/>
      <c r="P131" s="1346"/>
      <c r="Q131" s="1346"/>
      <c r="R131" s="1346"/>
      <c r="S131" s="1346"/>
      <c r="T131" s="1346"/>
      <c r="U131" s="1345"/>
      <c r="V131" s="1345"/>
      <c r="W131" s="1345"/>
      <c r="X131" s="1345"/>
    </row>
    <row r="132" spans="1:24" ht="10.25" customHeight="1" x14ac:dyDescent="0.15">
      <c r="A132" s="115" t="s">
        <v>199</v>
      </c>
      <c r="B132" s="111"/>
      <c r="C132" s="111"/>
      <c r="D132" s="112"/>
      <c r="E132" s="111"/>
      <c r="F132" s="111"/>
      <c r="G132" s="111"/>
      <c r="H132" s="111"/>
      <c r="I132" s="116"/>
      <c r="J132" s="116"/>
      <c r="K132" s="116"/>
      <c r="L132" s="117"/>
      <c r="M132" s="1346"/>
      <c r="N132" s="1346"/>
      <c r="O132" s="1346"/>
      <c r="P132" s="1346"/>
      <c r="Q132" s="1346"/>
      <c r="R132" s="1346"/>
      <c r="S132" s="1346"/>
      <c r="T132" s="1346"/>
      <c r="U132" s="1345"/>
      <c r="V132" s="1345"/>
      <c r="W132" s="1345"/>
      <c r="X132" s="1345"/>
    </row>
    <row r="133" spans="1:24" ht="10.25" customHeight="1" x14ac:dyDescent="0.15">
      <c r="A133" s="118" t="s">
        <v>200</v>
      </c>
      <c r="B133" s="111">
        <v>1991</v>
      </c>
      <c r="C133" s="111">
        <v>32295</v>
      </c>
      <c r="D133" s="112">
        <v>16.2</v>
      </c>
      <c r="E133" s="111">
        <v>4549</v>
      </c>
      <c r="F133" s="111">
        <v>1507</v>
      </c>
      <c r="G133" s="111">
        <v>442</v>
      </c>
      <c r="H133" s="111">
        <v>34133</v>
      </c>
      <c r="I133" s="117"/>
      <c r="J133" s="117"/>
      <c r="K133" s="117"/>
      <c r="L133" s="117"/>
      <c r="M133" s="1346"/>
      <c r="N133" s="1346"/>
      <c r="O133" s="1346"/>
      <c r="P133" s="1346"/>
      <c r="Q133" s="1346"/>
      <c r="R133" s="1346"/>
      <c r="S133" s="1346"/>
      <c r="T133" s="1346"/>
      <c r="U133" s="1345"/>
      <c r="V133" s="1345"/>
      <c r="W133" s="1345"/>
      <c r="X133" s="1345"/>
    </row>
    <row r="134" spans="1:24" ht="10.25" customHeight="1" x14ac:dyDescent="0.15">
      <c r="A134" s="118" t="s">
        <v>201</v>
      </c>
      <c r="B134" s="111">
        <v>756</v>
      </c>
      <c r="C134" s="111">
        <v>10738</v>
      </c>
      <c r="D134" s="112">
        <v>14.2</v>
      </c>
      <c r="E134" s="111">
        <v>1599</v>
      </c>
      <c r="F134" s="111">
        <v>530</v>
      </c>
      <c r="G134" s="111">
        <v>155</v>
      </c>
      <c r="H134" s="111">
        <v>12417</v>
      </c>
      <c r="I134" s="117"/>
      <c r="J134" s="117"/>
      <c r="K134" s="117"/>
      <c r="L134" s="117"/>
      <c r="M134" s="1346"/>
      <c r="N134" s="1346"/>
      <c r="O134" s="1346"/>
      <c r="P134" s="1346"/>
      <c r="Q134" s="1346"/>
      <c r="R134" s="1346"/>
      <c r="S134" s="1346"/>
      <c r="T134" s="1346"/>
      <c r="U134" s="1345"/>
      <c r="V134" s="1345"/>
      <c r="W134" s="1345"/>
      <c r="X134" s="1345"/>
    </row>
    <row r="135" spans="1:24" ht="10.25" customHeight="1" x14ac:dyDescent="0.15">
      <c r="A135" s="118" t="s">
        <v>202</v>
      </c>
      <c r="B135" s="111">
        <v>122</v>
      </c>
      <c r="C135" s="111">
        <v>6383</v>
      </c>
      <c r="D135" s="112">
        <v>52.2</v>
      </c>
      <c r="E135" s="111">
        <v>1205</v>
      </c>
      <c r="F135" s="111">
        <v>399</v>
      </c>
      <c r="G135" s="111">
        <v>117</v>
      </c>
      <c r="H135" s="111">
        <v>8417</v>
      </c>
      <c r="I135" s="117"/>
      <c r="J135" s="117"/>
      <c r="K135" s="117"/>
      <c r="L135" s="117"/>
      <c r="M135" s="1346"/>
      <c r="N135" s="1346"/>
      <c r="O135" s="1346"/>
      <c r="P135" s="1346"/>
      <c r="Q135" s="1346"/>
      <c r="R135" s="1346"/>
      <c r="S135" s="1346"/>
      <c r="T135" s="1346"/>
      <c r="U135" s="1345"/>
      <c r="V135" s="1345"/>
      <c r="W135" s="1345"/>
      <c r="X135" s="1345"/>
    </row>
    <row r="136" spans="1:24" ht="10.25" customHeight="1" x14ac:dyDescent="0.15">
      <c r="A136" s="118" t="s">
        <v>203</v>
      </c>
      <c r="B136" s="111">
        <v>742</v>
      </c>
      <c r="C136" s="111">
        <v>3975</v>
      </c>
      <c r="D136" s="112">
        <v>5.4</v>
      </c>
      <c r="E136" s="111">
        <v>452</v>
      </c>
      <c r="F136" s="111">
        <v>150</v>
      </c>
      <c r="G136" s="111">
        <v>44</v>
      </c>
      <c r="H136" s="111">
        <v>4007</v>
      </c>
      <c r="I136" s="117"/>
      <c r="J136" s="117"/>
      <c r="K136" s="117"/>
      <c r="L136" s="117"/>
      <c r="M136" s="1346"/>
      <c r="N136" s="1346"/>
      <c r="O136" s="1346"/>
      <c r="P136" s="1346"/>
      <c r="Q136" s="1346"/>
      <c r="R136" s="1346"/>
      <c r="S136" s="1346"/>
      <c r="T136" s="1346"/>
      <c r="U136" s="1345"/>
      <c r="V136" s="1345"/>
      <c r="W136" s="1345"/>
      <c r="X136" s="1345"/>
    </row>
    <row r="137" spans="1:24" ht="10.25" customHeight="1" x14ac:dyDescent="0.15">
      <c r="A137" s="118" t="s">
        <v>204</v>
      </c>
      <c r="B137" s="111">
        <v>714</v>
      </c>
      <c r="C137" s="111">
        <v>7377</v>
      </c>
      <c r="D137" s="112">
        <v>10.3</v>
      </c>
      <c r="E137" s="111">
        <v>897</v>
      </c>
      <c r="F137" s="111">
        <v>297</v>
      </c>
      <c r="G137" s="111">
        <v>87</v>
      </c>
      <c r="H137" s="111">
        <v>6726</v>
      </c>
      <c r="I137" s="117"/>
      <c r="J137" s="117"/>
      <c r="K137" s="117"/>
      <c r="L137" s="117"/>
      <c r="M137" s="1346"/>
      <c r="N137" s="1346"/>
      <c r="O137" s="1346"/>
      <c r="P137" s="1346"/>
      <c r="Q137" s="1346"/>
      <c r="R137" s="1346"/>
      <c r="S137" s="1346"/>
      <c r="T137" s="1346"/>
      <c r="U137" s="1345"/>
      <c r="V137" s="1345"/>
      <c r="W137" s="1345"/>
      <c r="X137" s="1345"/>
    </row>
    <row r="138" spans="1:24" ht="10.25" customHeight="1" x14ac:dyDescent="0.15">
      <c r="A138" s="118" t="s">
        <v>205</v>
      </c>
      <c r="B138" s="111">
        <v>17</v>
      </c>
      <c r="C138" s="111">
        <v>1024</v>
      </c>
      <c r="D138" s="112">
        <v>60.1</v>
      </c>
      <c r="E138" s="111">
        <v>201</v>
      </c>
      <c r="F138" s="111">
        <v>67</v>
      </c>
      <c r="G138" s="111">
        <v>20</v>
      </c>
      <c r="H138" s="111">
        <v>1462</v>
      </c>
      <c r="I138" s="117"/>
      <c r="J138" s="117"/>
      <c r="K138" s="117"/>
      <c r="L138" s="117"/>
      <c r="M138" s="1346"/>
      <c r="N138" s="1346"/>
      <c r="O138" s="1346"/>
      <c r="P138" s="1346"/>
      <c r="Q138" s="1346"/>
      <c r="R138" s="1346"/>
      <c r="S138" s="1346"/>
      <c r="T138" s="1346"/>
      <c r="U138" s="1345"/>
      <c r="V138" s="1345"/>
      <c r="W138" s="1345"/>
      <c r="X138" s="1345"/>
    </row>
    <row r="139" spans="1:24" ht="10.25" customHeight="1" x14ac:dyDescent="0.15">
      <c r="A139" s="118" t="s">
        <v>116</v>
      </c>
      <c r="B139" s="111">
        <v>44</v>
      </c>
      <c r="C139" s="111">
        <v>1108</v>
      </c>
      <c r="D139" s="112">
        <v>25.4</v>
      </c>
      <c r="E139" s="111">
        <v>190</v>
      </c>
      <c r="F139" s="111">
        <v>63</v>
      </c>
      <c r="G139" s="111">
        <v>18</v>
      </c>
      <c r="H139" s="111">
        <v>1416</v>
      </c>
      <c r="I139" s="117"/>
      <c r="J139" s="117"/>
      <c r="K139" s="117"/>
      <c r="L139" s="117"/>
      <c r="M139" s="1346"/>
      <c r="N139" s="1346"/>
      <c r="O139" s="1346"/>
      <c r="P139" s="1346"/>
      <c r="Q139" s="1346"/>
      <c r="R139" s="1346"/>
      <c r="S139" s="1346"/>
      <c r="T139" s="1346"/>
      <c r="U139" s="1345"/>
      <c r="V139" s="1345"/>
      <c r="W139" s="1345"/>
      <c r="X139" s="1345"/>
    </row>
    <row r="140" spans="1:24" ht="10.25" customHeight="1" x14ac:dyDescent="0.15">
      <c r="A140" s="118" t="s">
        <v>206</v>
      </c>
      <c r="B140" s="111" t="s">
        <v>182</v>
      </c>
      <c r="C140" s="111" t="s">
        <v>182</v>
      </c>
      <c r="D140" s="112" t="s">
        <v>182</v>
      </c>
      <c r="E140" s="111" t="s">
        <v>182</v>
      </c>
      <c r="F140" s="111" t="s">
        <v>182</v>
      </c>
      <c r="G140" s="111" t="s">
        <v>182</v>
      </c>
      <c r="H140" s="111" t="s">
        <v>182</v>
      </c>
      <c r="I140" s="117"/>
      <c r="J140" s="117"/>
      <c r="K140" s="117"/>
      <c r="L140" s="117"/>
      <c r="M140" s="1346"/>
      <c r="N140" s="1346"/>
      <c r="O140" s="1346"/>
      <c r="P140" s="1346"/>
      <c r="Q140" s="1346"/>
      <c r="R140" s="1346"/>
      <c r="S140" s="1346"/>
      <c r="T140" s="1346"/>
      <c r="U140" s="1345"/>
      <c r="V140" s="1345"/>
      <c r="W140" s="1345"/>
      <c r="X140" s="1345"/>
    </row>
    <row r="141" spans="1:24" ht="10.25" customHeight="1" x14ac:dyDescent="0.15">
      <c r="A141" s="114"/>
      <c r="B141" s="111"/>
      <c r="C141" s="111"/>
      <c r="D141" s="112"/>
      <c r="E141" s="111"/>
      <c r="F141" s="111"/>
      <c r="G141" s="111"/>
      <c r="H141" s="111"/>
      <c r="I141" s="117"/>
      <c r="J141" s="117"/>
      <c r="K141" s="117"/>
      <c r="L141" s="117"/>
      <c r="M141" s="1346"/>
      <c r="N141" s="1346"/>
      <c r="O141" s="1346"/>
      <c r="P141" s="1346"/>
      <c r="Q141" s="1346"/>
      <c r="R141" s="1346"/>
      <c r="S141" s="1346"/>
      <c r="T141" s="1346"/>
      <c r="U141" s="1345"/>
      <c r="V141" s="1345"/>
      <c r="W141" s="1345"/>
      <c r="X141" s="1345"/>
    </row>
    <row r="142" spans="1:24" ht="10.25" customHeight="1" x14ac:dyDescent="0.15">
      <c r="A142" s="115" t="s">
        <v>207</v>
      </c>
      <c r="B142" s="111"/>
      <c r="C142" s="111"/>
      <c r="D142" s="112"/>
      <c r="E142" s="111"/>
      <c r="F142" s="111"/>
      <c r="G142" s="111"/>
      <c r="H142" s="111"/>
      <c r="I142" s="117"/>
      <c r="J142" s="117"/>
      <c r="K142" s="117"/>
      <c r="L142" s="117"/>
      <c r="M142" s="105" t="s">
        <v>1313</v>
      </c>
    </row>
    <row r="143" spans="1:24" ht="10.25" customHeight="1" x14ac:dyDescent="0.15">
      <c r="A143" s="118" t="s">
        <v>208</v>
      </c>
      <c r="B143" s="111">
        <v>1008</v>
      </c>
      <c r="C143" s="111">
        <v>20781</v>
      </c>
      <c r="D143" s="112">
        <v>20.6</v>
      </c>
      <c r="E143" s="111">
        <v>3143</v>
      </c>
      <c r="F143" s="111">
        <v>1041</v>
      </c>
      <c r="G143" s="111">
        <v>305</v>
      </c>
      <c r="H143" s="111">
        <v>24170</v>
      </c>
      <c r="I143" s="117"/>
      <c r="J143" s="117"/>
      <c r="K143" s="117"/>
      <c r="L143" s="117"/>
    </row>
    <row r="144" spans="1:24" ht="10.25" customHeight="1" x14ac:dyDescent="0.15">
      <c r="A144" s="118" t="s">
        <v>209</v>
      </c>
      <c r="B144" s="111">
        <v>1283</v>
      </c>
      <c r="C144" s="111">
        <v>9871</v>
      </c>
      <c r="D144" s="112">
        <v>7.7</v>
      </c>
      <c r="E144" s="111">
        <v>1247</v>
      </c>
      <c r="F144" s="111">
        <v>413</v>
      </c>
      <c r="G144" s="111">
        <v>121</v>
      </c>
      <c r="H144" s="111">
        <v>10264</v>
      </c>
      <c r="I144" s="117"/>
      <c r="J144" s="117"/>
      <c r="K144" s="117"/>
      <c r="L144" s="117"/>
    </row>
    <row r="145" spans="1:12" ht="10.25" customHeight="1" x14ac:dyDescent="0.15">
      <c r="A145" s="118" t="s">
        <v>210</v>
      </c>
      <c r="B145" s="111">
        <v>1134</v>
      </c>
      <c r="C145" s="111">
        <v>11234</v>
      </c>
      <c r="D145" s="112">
        <v>9.9</v>
      </c>
      <c r="E145" s="111">
        <v>1184</v>
      </c>
      <c r="F145" s="111">
        <v>392</v>
      </c>
      <c r="G145" s="111">
        <v>115</v>
      </c>
      <c r="H145" s="111">
        <v>8837</v>
      </c>
      <c r="I145" s="117"/>
      <c r="J145" s="117"/>
      <c r="K145" s="117"/>
      <c r="L145" s="117"/>
    </row>
    <row r="146" spans="1:12" ht="10.25" customHeight="1" x14ac:dyDescent="0.15">
      <c r="A146" s="118" t="s">
        <v>211</v>
      </c>
      <c r="B146" s="111">
        <v>504</v>
      </c>
      <c r="C146" s="111">
        <v>14711</v>
      </c>
      <c r="D146" s="112">
        <v>29.2</v>
      </c>
      <c r="E146" s="111">
        <v>2686</v>
      </c>
      <c r="F146" s="111">
        <v>890</v>
      </c>
      <c r="G146" s="111">
        <v>261</v>
      </c>
      <c r="H146" s="111">
        <v>18633</v>
      </c>
      <c r="I146" s="117"/>
      <c r="J146" s="117"/>
      <c r="K146" s="117"/>
      <c r="L146" s="117"/>
    </row>
    <row r="147" spans="1:12" ht="10.25" customHeight="1" x14ac:dyDescent="0.15">
      <c r="A147" s="118" t="s">
        <v>212</v>
      </c>
      <c r="B147" s="111">
        <v>257</v>
      </c>
      <c r="C147" s="111">
        <v>2438</v>
      </c>
      <c r="D147" s="112">
        <v>9.5</v>
      </c>
      <c r="E147" s="111">
        <v>313</v>
      </c>
      <c r="F147" s="111">
        <v>104</v>
      </c>
      <c r="G147" s="111">
        <v>30</v>
      </c>
      <c r="H147" s="111">
        <v>2816</v>
      </c>
      <c r="I147" s="117"/>
      <c r="J147" s="117"/>
      <c r="K147" s="117"/>
      <c r="L147" s="117"/>
    </row>
    <row r="148" spans="1:12" ht="10.25" customHeight="1" x14ac:dyDescent="0.15">
      <c r="A148" s="118" t="s">
        <v>213</v>
      </c>
      <c r="B148" s="111">
        <v>119</v>
      </c>
      <c r="C148" s="111">
        <v>881</v>
      </c>
      <c r="D148" s="112">
        <v>7.4</v>
      </c>
      <c r="E148" s="111">
        <v>111</v>
      </c>
      <c r="F148" s="111">
        <v>37</v>
      </c>
      <c r="G148" s="111">
        <v>11</v>
      </c>
      <c r="H148" s="111">
        <v>869</v>
      </c>
      <c r="I148" s="117"/>
      <c r="J148" s="117"/>
      <c r="K148" s="117"/>
      <c r="L148" s="117"/>
    </row>
    <row r="149" spans="1:12" ht="10.25" customHeight="1" x14ac:dyDescent="0.15">
      <c r="A149" s="118" t="s">
        <v>214</v>
      </c>
      <c r="B149" s="111">
        <v>61</v>
      </c>
      <c r="C149" s="111">
        <v>2231</v>
      </c>
      <c r="D149" s="112">
        <v>36.700000000000003</v>
      </c>
      <c r="E149" s="111">
        <v>299</v>
      </c>
      <c r="F149" s="111">
        <v>99</v>
      </c>
      <c r="G149" s="111">
        <v>29</v>
      </c>
      <c r="H149" s="111">
        <v>2029</v>
      </c>
      <c r="I149" s="117"/>
      <c r="J149" s="117"/>
      <c r="K149" s="117"/>
      <c r="L149" s="117"/>
    </row>
    <row r="150" spans="1:12" ht="10.25" customHeight="1" x14ac:dyDescent="0.15">
      <c r="A150" s="118" t="s">
        <v>116</v>
      </c>
      <c r="B150" s="111">
        <v>13</v>
      </c>
      <c r="C150" s="111">
        <v>595</v>
      </c>
      <c r="D150" s="112">
        <v>44.4</v>
      </c>
      <c r="E150" s="111">
        <v>125</v>
      </c>
      <c r="F150" s="111">
        <v>41</v>
      </c>
      <c r="G150" s="111">
        <v>12</v>
      </c>
      <c r="H150" s="111">
        <v>845</v>
      </c>
      <c r="I150" s="117"/>
      <c r="J150" s="117"/>
      <c r="K150" s="117"/>
      <c r="L150" s="117"/>
    </row>
    <row r="151" spans="1:12" ht="10.25" customHeight="1" x14ac:dyDescent="0.15">
      <c r="A151" s="118" t="s">
        <v>206</v>
      </c>
      <c r="B151" s="111">
        <v>25</v>
      </c>
      <c r="C151" s="111">
        <v>565</v>
      </c>
      <c r="D151" s="112">
        <v>22.7</v>
      </c>
      <c r="E151" s="111">
        <v>61</v>
      </c>
      <c r="F151" s="111">
        <v>20</v>
      </c>
      <c r="G151" s="111">
        <v>6</v>
      </c>
      <c r="H151" s="111">
        <v>568</v>
      </c>
      <c r="I151" s="117"/>
      <c r="J151" s="117"/>
      <c r="K151" s="117"/>
      <c r="L151" s="117"/>
    </row>
    <row r="152" spans="1:12" ht="10.25" customHeight="1" x14ac:dyDescent="0.15">
      <c r="A152" s="114"/>
      <c r="B152" s="111"/>
      <c r="C152" s="111"/>
      <c r="D152" s="112"/>
      <c r="E152" s="111"/>
      <c r="F152" s="111"/>
      <c r="G152" s="111"/>
      <c r="H152" s="111"/>
      <c r="I152" s="117"/>
      <c r="J152" s="117"/>
      <c r="K152" s="117"/>
      <c r="L152" s="117"/>
    </row>
    <row r="153" spans="1:12" ht="10.25" customHeight="1" x14ac:dyDescent="0.15">
      <c r="A153" s="115" t="s">
        <v>215</v>
      </c>
      <c r="B153" s="111"/>
      <c r="C153" s="111"/>
      <c r="D153" s="112"/>
      <c r="E153" s="111"/>
      <c r="F153" s="111"/>
      <c r="G153" s="111"/>
      <c r="H153" s="111"/>
      <c r="I153" s="117"/>
      <c r="J153" s="117"/>
      <c r="K153" s="117"/>
      <c r="L153" s="117"/>
    </row>
    <row r="154" spans="1:12" ht="10.25" customHeight="1" x14ac:dyDescent="0.15">
      <c r="A154" s="115" t="s">
        <v>216</v>
      </c>
      <c r="B154" s="111"/>
      <c r="C154" s="111"/>
      <c r="D154" s="112"/>
      <c r="E154" s="111"/>
      <c r="F154" s="111"/>
      <c r="G154" s="111"/>
      <c r="H154" s="111"/>
      <c r="I154" s="117"/>
      <c r="J154" s="117"/>
      <c r="K154" s="117"/>
      <c r="L154" s="117"/>
    </row>
    <row r="155" spans="1:12" ht="10.25" customHeight="1" x14ac:dyDescent="0.15">
      <c r="A155" s="115" t="s">
        <v>155</v>
      </c>
      <c r="B155" s="111"/>
      <c r="C155" s="111"/>
      <c r="D155" s="112"/>
      <c r="E155" s="111"/>
      <c r="F155" s="111"/>
      <c r="G155" s="111"/>
      <c r="H155" s="111"/>
      <c r="I155" s="117"/>
      <c r="J155" s="117"/>
      <c r="K155" s="117"/>
      <c r="L155" s="117"/>
    </row>
    <row r="156" spans="1:12" ht="10.25" customHeight="1" x14ac:dyDescent="0.15">
      <c r="A156" s="114" t="s">
        <v>217</v>
      </c>
      <c r="B156" s="111"/>
      <c r="C156" s="111"/>
      <c r="D156" s="112"/>
      <c r="E156" s="111"/>
      <c r="F156" s="111"/>
      <c r="G156" s="111"/>
      <c r="H156" s="111"/>
      <c r="I156" s="117"/>
      <c r="J156" s="117"/>
      <c r="K156" s="117"/>
      <c r="L156" s="117"/>
    </row>
    <row r="157" spans="1:12" ht="10.25" customHeight="1" x14ac:dyDescent="0.15">
      <c r="A157" s="118" t="s">
        <v>218</v>
      </c>
      <c r="B157" s="111">
        <v>1006</v>
      </c>
      <c r="C157" s="111">
        <v>17638</v>
      </c>
      <c r="D157" s="112">
        <v>17.5</v>
      </c>
      <c r="E157" s="111">
        <v>2356</v>
      </c>
      <c r="F157" s="111">
        <v>780</v>
      </c>
      <c r="G157" s="111">
        <v>229</v>
      </c>
      <c r="H157" s="111">
        <v>17830</v>
      </c>
      <c r="I157" s="117"/>
      <c r="J157" s="117"/>
      <c r="K157" s="117"/>
      <c r="L157" s="117"/>
    </row>
    <row r="158" spans="1:12" ht="10.25" customHeight="1" x14ac:dyDescent="0.15">
      <c r="A158" s="118" t="s">
        <v>219</v>
      </c>
      <c r="B158" s="111">
        <v>256</v>
      </c>
      <c r="C158" s="111">
        <v>6551</v>
      </c>
      <c r="D158" s="112">
        <v>25.6</v>
      </c>
      <c r="E158" s="111">
        <v>951</v>
      </c>
      <c r="F158" s="111">
        <v>315</v>
      </c>
      <c r="G158" s="111">
        <v>92</v>
      </c>
      <c r="H158" s="111">
        <v>6501</v>
      </c>
      <c r="I158" s="117"/>
      <c r="J158" s="117"/>
      <c r="K158" s="117"/>
      <c r="L158" s="117"/>
    </row>
    <row r="159" spans="1:12" ht="10.25" customHeight="1" x14ac:dyDescent="0.15">
      <c r="A159" s="118" t="s">
        <v>220</v>
      </c>
      <c r="B159" s="111">
        <v>22</v>
      </c>
      <c r="C159" s="111">
        <v>1012</v>
      </c>
      <c r="D159" s="112">
        <v>46.1</v>
      </c>
      <c r="E159" s="111">
        <v>158</v>
      </c>
      <c r="F159" s="111">
        <v>52</v>
      </c>
      <c r="G159" s="111">
        <v>15</v>
      </c>
      <c r="H159" s="111">
        <v>1180</v>
      </c>
      <c r="I159" s="117"/>
      <c r="J159" s="117"/>
      <c r="K159" s="117"/>
      <c r="L159" s="117"/>
    </row>
    <row r="160" spans="1:12" ht="10.25" customHeight="1" x14ac:dyDescent="0.15">
      <c r="A160" s="118" t="s">
        <v>221</v>
      </c>
      <c r="B160" s="111">
        <v>735</v>
      </c>
      <c r="C160" s="111">
        <v>13002</v>
      </c>
      <c r="D160" s="112">
        <v>17.7</v>
      </c>
      <c r="E160" s="111">
        <v>1812</v>
      </c>
      <c r="F160" s="111">
        <v>600</v>
      </c>
      <c r="G160" s="111">
        <v>176</v>
      </c>
      <c r="H160" s="111">
        <v>13845</v>
      </c>
      <c r="I160" s="117"/>
      <c r="J160" s="117"/>
      <c r="K160" s="117"/>
      <c r="L160" s="117"/>
    </row>
    <row r="161" spans="1:12" ht="10.25" customHeight="1" x14ac:dyDescent="0.15">
      <c r="A161" s="118" t="s">
        <v>222</v>
      </c>
      <c r="B161" s="111">
        <v>365</v>
      </c>
      <c r="C161" s="111">
        <v>8056</v>
      </c>
      <c r="D161" s="112">
        <v>22</v>
      </c>
      <c r="E161" s="111">
        <v>1046</v>
      </c>
      <c r="F161" s="111">
        <v>347</v>
      </c>
      <c r="G161" s="111">
        <v>102</v>
      </c>
      <c r="H161" s="111">
        <v>8129</v>
      </c>
      <c r="I161" s="117"/>
      <c r="J161" s="117"/>
      <c r="K161" s="117"/>
      <c r="L161" s="117"/>
    </row>
    <row r="162" spans="1:12" ht="10.25" customHeight="1" x14ac:dyDescent="0.15">
      <c r="A162" s="114" t="s">
        <v>223</v>
      </c>
      <c r="B162" s="111"/>
      <c r="C162" s="111"/>
      <c r="D162" s="112"/>
      <c r="E162" s="111"/>
      <c r="F162" s="111"/>
      <c r="G162" s="111"/>
      <c r="H162" s="111"/>
      <c r="I162" s="117"/>
      <c r="J162" s="117"/>
      <c r="K162" s="117"/>
      <c r="L162" s="117"/>
    </row>
    <row r="163" spans="1:12" ht="10.25" customHeight="1" x14ac:dyDescent="0.15">
      <c r="A163" s="118" t="s">
        <v>224</v>
      </c>
      <c r="B163" s="111">
        <v>407</v>
      </c>
      <c r="C163" s="111">
        <v>8502</v>
      </c>
      <c r="D163" s="112">
        <v>20.9</v>
      </c>
      <c r="E163" s="111">
        <v>1212</v>
      </c>
      <c r="F163" s="111">
        <v>401</v>
      </c>
      <c r="G163" s="111">
        <v>118</v>
      </c>
      <c r="H163" s="111">
        <v>9035</v>
      </c>
      <c r="I163" s="117"/>
      <c r="J163" s="117"/>
      <c r="K163" s="117"/>
      <c r="L163" s="117"/>
    </row>
    <row r="164" spans="1:12" ht="10.25" customHeight="1" x14ac:dyDescent="0.15">
      <c r="A164" s="118" t="s">
        <v>225</v>
      </c>
      <c r="B164" s="111">
        <v>440</v>
      </c>
      <c r="C164" s="111">
        <v>10765</v>
      </c>
      <c r="D164" s="112">
        <v>24.5</v>
      </c>
      <c r="E164" s="111">
        <v>1591</v>
      </c>
      <c r="F164" s="111">
        <v>527</v>
      </c>
      <c r="G164" s="111">
        <v>154</v>
      </c>
      <c r="H164" s="111">
        <v>11822</v>
      </c>
      <c r="I164" s="117"/>
      <c r="J164" s="117"/>
      <c r="K164" s="117"/>
      <c r="L164" s="117"/>
    </row>
    <row r="165" spans="1:12" ht="10.25" customHeight="1" x14ac:dyDescent="0.15">
      <c r="A165" s="118" t="s">
        <v>226</v>
      </c>
      <c r="B165" s="111">
        <v>453</v>
      </c>
      <c r="C165" s="111">
        <v>10273</v>
      </c>
      <c r="D165" s="112">
        <v>22.7</v>
      </c>
      <c r="E165" s="111">
        <v>1442</v>
      </c>
      <c r="F165" s="111">
        <v>478</v>
      </c>
      <c r="G165" s="111">
        <v>140</v>
      </c>
      <c r="H165" s="111">
        <v>10741</v>
      </c>
      <c r="I165" s="117"/>
      <c r="J165" s="117"/>
      <c r="K165" s="117"/>
      <c r="L165" s="117"/>
    </row>
    <row r="166" spans="1:12" ht="10.25" customHeight="1" x14ac:dyDescent="0.15">
      <c r="A166" s="118" t="s">
        <v>227</v>
      </c>
      <c r="B166" s="111">
        <v>307</v>
      </c>
      <c r="C166" s="111">
        <v>6277</v>
      </c>
      <c r="D166" s="112">
        <v>20.5</v>
      </c>
      <c r="E166" s="111">
        <v>757</v>
      </c>
      <c r="F166" s="111">
        <v>251</v>
      </c>
      <c r="G166" s="111">
        <v>73</v>
      </c>
      <c r="H166" s="111">
        <v>6168</v>
      </c>
      <c r="I166" s="117"/>
      <c r="J166" s="117"/>
      <c r="K166" s="117"/>
      <c r="L166" s="117"/>
    </row>
    <row r="167" spans="1:12" ht="10.25" customHeight="1" x14ac:dyDescent="0.15">
      <c r="A167" s="118" t="s">
        <v>228</v>
      </c>
      <c r="B167" s="111">
        <v>313</v>
      </c>
      <c r="C167" s="111">
        <v>7141</v>
      </c>
      <c r="D167" s="112">
        <v>22.8</v>
      </c>
      <c r="E167" s="111">
        <v>947</v>
      </c>
      <c r="F167" s="111">
        <v>314</v>
      </c>
      <c r="G167" s="111">
        <v>92</v>
      </c>
      <c r="H167" s="111">
        <v>7360</v>
      </c>
      <c r="I167" s="117"/>
      <c r="J167" s="117"/>
      <c r="K167" s="117"/>
      <c r="L167" s="117"/>
    </row>
    <row r="168" spans="1:12" ht="10.25" customHeight="1" x14ac:dyDescent="0.15">
      <c r="A168" s="118" t="s">
        <v>229</v>
      </c>
      <c r="B168" s="111">
        <v>225</v>
      </c>
      <c r="C168" s="111">
        <v>4012</v>
      </c>
      <c r="D168" s="112">
        <v>17.8</v>
      </c>
      <c r="E168" s="111">
        <v>526</v>
      </c>
      <c r="F168" s="111">
        <v>174</v>
      </c>
      <c r="G168" s="111">
        <v>51</v>
      </c>
      <c r="H168" s="111">
        <v>4065</v>
      </c>
      <c r="I168" s="117"/>
      <c r="J168" s="117"/>
      <c r="K168" s="117"/>
      <c r="L168" s="117"/>
    </row>
    <row r="169" spans="1:12" ht="10.25" customHeight="1" x14ac:dyDescent="0.15">
      <c r="A169" s="118" t="s">
        <v>230</v>
      </c>
      <c r="B169" s="111">
        <v>19</v>
      </c>
      <c r="C169" s="111">
        <v>523</v>
      </c>
      <c r="D169" s="112">
        <v>27.3</v>
      </c>
      <c r="E169" s="111">
        <v>49</v>
      </c>
      <c r="F169" s="111">
        <v>16</v>
      </c>
      <c r="G169" s="111">
        <v>5</v>
      </c>
      <c r="H169" s="111">
        <v>517</v>
      </c>
      <c r="I169" s="117"/>
      <c r="J169" s="117"/>
      <c r="K169" s="117"/>
      <c r="L169" s="117"/>
    </row>
    <row r="170" spans="1:12" ht="10.25" customHeight="1" x14ac:dyDescent="0.15">
      <c r="A170" s="118" t="s">
        <v>231</v>
      </c>
      <c r="B170" s="111">
        <v>1622</v>
      </c>
      <c r="C170" s="111">
        <v>18137</v>
      </c>
      <c r="D170" s="112">
        <v>11.2</v>
      </c>
      <c r="E170" s="111">
        <v>1953</v>
      </c>
      <c r="F170" s="111">
        <v>647</v>
      </c>
      <c r="G170" s="111">
        <v>190</v>
      </c>
      <c r="H170" s="111">
        <v>15691</v>
      </c>
      <c r="I170" s="117"/>
      <c r="J170" s="117"/>
      <c r="K170" s="117"/>
      <c r="L170" s="117"/>
    </row>
    <row r="171" spans="1:12" ht="10.25" customHeight="1" x14ac:dyDescent="0.15">
      <c r="A171" s="118" t="s">
        <v>232</v>
      </c>
      <c r="B171" s="111">
        <v>1776</v>
      </c>
      <c r="C171" s="111">
        <v>27532</v>
      </c>
      <c r="D171" s="112">
        <v>15.5</v>
      </c>
      <c r="E171" s="111">
        <v>4859</v>
      </c>
      <c r="F171" s="111">
        <v>1609</v>
      </c>
      <c r="G171" s="111">
        <v>472</v>
      </c>
      <c r="H171" s="111">
        <v>35511</v>
      </c>
      <c r="I171" s="117"/>
      <c r="J171" s="117"/>
      <c r="K171" s="117"/>
      <c r="L171" s="117"/>
    </row>
    <row r="172" spans="1:12" ht="10.25" customHeight="1" x14ac:dyDescent="0.15">
      <c r="A172" s="114"/>
      <c r="B172" s="111"/>
      <c r="C172" s="111"/>
      <c r="D172" s="112"/>
      <c r="E172" s="111"/>
      <c r="F172" s="111"/>
      <c r="G172" s="111"/>
      <c r="H172" s="111"/>
      <c r="I172" s="117"/>
      <c r="J172" s="117"/>
      <c r="K172" s="117"/>
      <c r="L172" s="117"/>
    </row>
    <row r="173" spans="1:12" ht="10.25" customHeight="1" x14ac:dyDescent="0.15">
      <c r="A173" s="115" t="s">
        <v>233</v>
      </c>
      <c r="B173" s="111"/>
      <c r="C173" s="111"/>
      <c r="D173" s="112"/>
      <c r="E173" s="111"/>
      <c r="F173" s="111"/>
      <c r="G173" s="111"/>
      <c r="H173" s="111"/>
      <c r="I173" s="117"/>
      <c r="J173" s="117"/>
      <c r="K173" s="117"/>
      <c r="L173" s="117"/>
    </row>
    <row r="174" spans="1:12" ht="10.25" customHeight="1" x14ac:dyDescent="0.15">
      <c r="A174" s="115" t="s">
        <v>234</v>
      </c>
      <c r="B174" s="111"/>
      <c r="C174" s="111"/>
      <c r="D174" s="112"/>
      <c r="E174" s="111"/>
      <c r="F174" s="111"/>
      <c r="G174" s="111"/>
      <c r="H174" s="111"/>
      <c r="I174" s="117"/>
      <c r="J174" s="117"/>
      <c r="K174" s="117"/>
      <c r="L174" s="117"/>
    </row>
    <row r="175" spans="1:12" ht="10.25" customHeight="1" x14ac:dyDescent="0.15">
      <c r="A175" s="118" t="s">
        <v>235</v>
      </c>
      <c r="B175" s="111">
        <v>4404</v>
      </c>
      <c r="C175" s="111">
        <v>63307</v>
      </c>
      <c r="D175" s="112">
        <v>14.4</v>
      </c>
      <c r="E175" s="111">
        <v>9168</v>
      </c>
      <c r="F175" s="111">
        <v>3037</v>
      </c>
      <c r="G175" s="111">
        <v>890</v>
      </c>
      <c r="H175" s="111">
        <v>69032</v>
      </c>
      <c r="I175" s="117"/>
      <c r="J175" s="117"/>
      <c r="K175" s="117"/>
      <c r="L175" s="117"/>
    </row>
    <row r="176" spans="1:12" ht="10.25" customHeight="1" x14ac:dyDescent="0.15">
      <c r="A176" s="118" t="s">
        <v>236</v>
      </c>
      <c r="B176" s="111">
        <v>2390</v>
      </c>
      <c r="C176" s="111">
        <v>43461</v>
      </c>
      <c r="D176" s="112">
        <v>18.2</v>
      </c>
      <c r="E176" s="111">
        <v>6524</v>
      </c>
      <c r="F176" s="111">
        <v>2161</v>
      </c>
      <c r="G176" s="111">
        <v>633</v>
      </c>
      <c r="H176" s="111">
        <v>48584</v>
      </c>
      <c r="I176" s="117"/>
      <c r="J176" s="117"/>
      <c r="K176" s="117"/>
      <c r="L176" s="117"/>
    </row>
    <row r="177" spans="1:12" ht="10.25" customHeight="1" x14ac:dyDescent="0.15">
      <c r="A177" s="118" t="s">
        <v>237</v>
      </c>
      <c r="B177" s="111">
        <v>448</v>
      </c>
      <c r="C177" s="111">
        <v>15142</v>
      </c>
      <c r="D177" s="112">
        <v>33.799999999999997</v>
      </c>
      <c r="E177" s="111">
        <v>2578</v>
      </c>
      <c r="F177" s="111">
        <v>854</v>
      </c>
      <c r="G177" s="111">
        <v>250</v>
      </c>
      <c r="H177" s="111">
        <v>18631</v>
      </c>
      <c r="I177" s="117"/>
      <c r="J177" s="117"/>
      <c r="K177" s="117"/>
      <c r="L177" s="117"/>
    </row>
    <row r="178" spans="1:12" ht="10.25" customHeight="1" x14ac:dyDescent="0.15">
      <c r="A178" s="118" t="s">
        <v>238</v>
      </c>
      <c r="B178" s="111">
        <v>67</v>
      </c>
      <c r="C178" s="111">
        <v>5443</v>
      </c>
      <c r="D178" s="112">
        <v>81.400000000000006</v>
      </c>
      <c r="E178" s="111">
        <v>1011</v>
      </c>
      <c r="F178" s="111">
        <v>335</v>
      </c>
      <c r="G178" s="111">
        <v>98</v>
      </c>
      <c r="H178" s="111">
        <v>6519</v>
      </c>
      <c r="I178" s="117"/>
      <c r="J178" s="117"/>
      <c r="K178" s="117"/>
      <c r="L178" s="117"/>
    </row>
    <row r="179" spans="1:12" ht="10.25" customHeight="1" x14ac:dyDescent="0.15">
      <c r="A179" s="118" t="s">
        <v>239</v>
      </c>
      <c r="B179" s="111">
        <v>33</v>
      </c>
      <c r="C179" s="111">
        <v>2853</v>
      </c>
      <c r="D179" s="112">
        <v>86.7</v>
      </c>
      <c r="E179" s="111">
        <v>580</v>
      </c>
      <c r="F179" s="111">
        <v>192</v>
      </c>
      <c r="G179" s="111">
        <v>56</v>
      </c>
      <c r="H179" s="111">
        <v>3667</v>
      </c>
      <c r="I179" s="117"/>
      <c r="J179" s="117"/>
      <c r="K179" s="117"/>
      <c r="L179" s="117"/>
    </row>
    <row r="180" spans="1:12" ht="10.25" customHeight="1" x14ac:dyDescent="0.15">
      <c r="A180" s="118" t="s">
        <v>240</v>
      </c>
      <c r="B180" s="111">
        <v>499</v>
      </c>
      <c r="C180" s="111">
        <v>7067</v>
      </c>
      <c r="D180" s="112">
        <v>14.2</v>
      </c>
      <c r="E180" s="111">
        <v>1022</v>
      </c>
      <c r="F180" s="111">
        <v>339</v>
      </c>
      <c r="G180" s="111">
        <v>99</v>
      </c>
      <c r="H180" s="111">
        <v>7234</v>
      </c>
      <c r="I180" s="117"/>
      <c r="J180" s="117"/>
      <c r="K180" s="117"/>
      <c r="L180" s="117"/>
    </row>
    <row r="181" spans="1:12" ht="10.25" customHeight="1" x14ac:dyDescent="0.15">
      <c r="A181" s="118" t="s">
        <v>116</v>
      </c>
      <c r="B181" s="111">
        <v>126</v>
      </c>
      <c r="C181" s="111">
        <v>1380</v>
      </c>
      <c r="D181" s="112">
        <v>11</v>
      </c>
      <c r="E181" s="111">
        <v>233</v>
      </c>
      <c r="F181" s="111">
        <v>77</v>
      </c>
      <c r="G181" s="111">
        <v>23</v>
      </c>
      <c r="H181" s="111">
        <v>1539</v>
      </c>
      <c r="I181" s="117"/>
      <c r="J181" s="117"/>
      <c r="K181" s="117"/>
      <c r="L181" s="117"/>
    </row>
    <row r="182" spans="1:12" ht="10.25" customHeight="1" x14ac:dyDescent="0.15">
      <c r="A182" s="114"/>
      <c r="B182" s="111"/>
      <c r="C182" s="111"/>
      <c r="D182" s="112"/>
      <c r="E182" s="111"/>
      <c r="F182" s="111"/>
      <c r="G182" s="111"/>
      <c r="H182" s="111"/>
      <c r="I182" s="117"/>
      <c r="J182" s="117"/>
      <c r="K182" s="117"/>
      <c r="L182" s="117"/>
    </row>
    <row r="183" spans="1:12" ht="10.25" customHeight="1" x14ac:dyDescent="0.15">
      <c r="A183" s="115" t="s">
        <v>241</v>
      </c>
      <c r="B183" s="111"/>
      <c r="C183" s="111"/>
      <c r="D183" s="112"/>
      <c r="E183" s="111"/>
      <c r="F183" s="111"/>
      <c r="G183" s="111"/>
      <c r="H183" s="111"/>
      <c r="I183" s="117"/>
      <c r="J183" s="117"/>
      <c r="K183" s="117"/>
      <c r="L183" s="117"/>
    </row>
    <row r="184" spans="1:12" ht="10.25" customHeight="1" x14ac:dyDescent="0.15">
      <c r="A184" s="118" t="s">
        <v>235</v>
      </c>
      <c r="B184" s="111">
        <v>1766</v>
      </c>
      <c r="C184" s="111">
        <v>28600</v>
      </c>
      <c r="D184" s="112">
        <v>16.2</v>
      </c>
      <c r="E184" s="111">
        <v>4696</v>
      </c>
      <c r="F184" s="111">
        <v>1555</v>
      </c>
      <c r="G184" s="111">
        <v>456</v>
      </c>
      <c r="H184" s="111">
        <v>34865</v>
      </c>
      <c r="I184" s="117"/>
      <c r="J184" s="117"/>
      <c r="K184" s="117"/>
      <c r="L184" s="117"/>
    </row>
    <row r="185" spans="1:12" ht="10.25" customHeight="1" x14ac:dyDescent="0.15">
      <c r="A185" s="118" t="s">
        <v>242</v>
      </c>
      <c r="B185" s="111">
        <v>1258</v>
      </c>
      <c r="C185" s="111">
        <v>15996</v>
      </c>
      <c r="D185" s="112">
        <v>12.7</v>
      </c>
      <c r="E185" s="111">
        <v>2739</v>
      </c>
      <c r="F185" s="111">
        <v>907</v>
      </c>
      <c r="G185" s="111">
        <v>266</v>
      </c>
      <c r="H185" s="111">
        <v>20527</v>
      </c>
      <c r="I185" s="117"/>
      <c r="J185" s="117"/>
      <c r="K185" s="117"/>
      <c r="L185" s="117"/>
    </row>
    <row r="186" spans="1:12" ht="10.25" customHeight="1" x14ac:dyDescent="0.15">
      <c r="A186" s="118" t="s">
        <v>243</v>
      </c>
      <c r="B186" s="111">
        <v>507</v>
      </c>
      <c r="C186" s="111">
        <v>12604</v>
      </c>
      <c r="D186" s="112">
        <v>24.8</v>
      </c>
      <c r="E186" s="111">
        <v>1957</v>
      </c>
      <c r="F186" s="111">
        <v>648</v>
      </c>
      <c r="G186" s="111">
        <v>190</v>
      </c>
      <c r="H186" s="111">
        <v>14338</v>
      </c>
      <c r="I186" s="117"/>
      <c r="J186" s="117"/>
      <c r="K186" s="117"/>
      <c r="L186" s="117"/>
    </row>
    <row r="187" spans="1:12" ht="10.25" customHeight="1" x14ac:dyDescent="0.15">
      <c r="A187" s="118" t="s">
        <v>244</v>
      </c>
      <c r="B187" s="111">
        <v>2206</v>
      </c>
      <c r="C187" s="111">
        <v>31391</v>
      </c>
      <c r="D187" s="112">
        <v>14.2</v>
      </c>
      <c r="E187" s="111">
        <v>4191</v>
      </c>
      <c r="F187" s="111">
        <v>1388</v>
      </c>
      <c r="G187" s="111">
        <v>407</v>
      </c>
      <c r="H187" s="111">
        <v>31387</v>
      </c>
      <c r="I187" s="117"/>
      <c r="J187" s="117"/>
      <c r="K187" s="117"/>
      <c r="L187" s="117"/>
    </row>
    <row r="188" spans="1:12" ht="10.25" customHeight="1" x14ac:dyDescent="0.15">
      <c r="A188" s="118" t="s">
        <v>245</v>
      </c>
      <c r="B188" s="111">
        <v>432</v>
      </c>
      <c r="C188" s="111">
        <v>3315</v>
      </c>
      <c r="D188" s="112">
        <v>7.7</v>
      </c>
      <c r="E188" s="111">
        <v>281</v>
      </c>
      <c r="F188" s="111">
        <v>93</v>
      </c>
      <c r="G188" s="111">
        <v>27</v>
      </c>
      <c r="H188" s="111">
        <v>2779</v>
      </c>
      <c r="I188" s="117"/>
      <c r="J188" s="117"/>
      <c r="K188" s="117"/>
      <c r="L188" s="117"/>
    </row>
    <row r="189" spans="1:12" ht="10.25" customHeight="1" x14ac:dyDescent="0.15">
      <c r="A189" s="114"/>
      <c r="B189" s="111"/>
      <c r="C189" s="111"/>
      <c r="D189" s="112"/>
      <c r="E189" s="111"/>
      <c r="F189" s="111"/>
      <c r="G189" s="111"/>
      <c r="H189" s="111"/>
      <c r="I189" s="117"/>
      <c r="J189" s="117"/>
      <c r="K189" s="117"/>
      <c r="L189" s="117"/>
    </row>
    <row r="190" spans="1:12" ht="10.25" customHeight="1" x14ac:dyDescent="0.15">
      <c r="A190" s="115" t="s">
        <v>246</v>
      </c>
      <c r="B190" s="111"/>
      <c r="C190" s="111"/>
      <c r="D190" s="112"/>
      <c r="E190" s="111"/>
      <c r="F190" s="111"/>
      <c r="G190" s="111"/>
      <c r="H190" s="111"/>
      <c r="I190" s="117"/>
      <c r="J190" s="117"/>
      <c r="K190" s="117"/>
      <c r="L190" s="117"/>
    </row>
    <row r="191" spans="1:12" ht="10.25" customHeight="1" x14ac:dyDescent="0.15">
      <c r="A191" s="115" t="s">
        <v>247</v>
      </c>
      <c r="B191" s="111"/>
      <c r="C191" s="111"/>
      <c r="D191" s="112"/>
      <c r="E191" s="111"/>
      <c r="F191" s="111"/>
      <c r="G191" s="111"/>
      <c r="H191" s="111"/>
      <c r="I191" s="117"/>
      <c r="J191" s="117"/>
      <c r="K191" s="117"/>
      <c r="L191" s="117"/>
    </row>
    <row r="192" spans="1:12" ht="10.25" customHeight="1" x14ac:dyDescent="0.15">
      <c r="A192" s="118" t="s">
        <v>235</v>
      </c>
      <c r="B192" s="111">
        <v>1258</v>
      </c>
      <c r="C192" s="111">
        <v>15996</v>
      </c>
      <c r="D192" s="112">
        <v>12.7</v>
      </c>
      <c r="E192" s="111">
        <v>2739</v>
      </c>
      <c r="F192" s="111">
        <v>907</v>
      </c>
      <c r="G192" s="111">
        <v>266</v>
      </c>
      <c r="H192" s="111">
        <v>20527</v>
      </c>
      <c r="I192" s="117"/>
      <c r="J192" s="117"/>
      <c r="K192" s="117"/>
      <c r="L192" s="117"/>
    </row>
    <row r="193" spans="1:12" ht="10.25" customHeight="1" x14ac:dyDescent="0.15">
      <c r="A193" s="118" t="s">
        <v>236</v>
      </c>
      <c r="B193" s="111">
        <v>1998</v>
      </c>
      <c r="C193" s="111">
        <v>32963</v>
      </c>
      <c r="D193" s="112">
        <v>16.5</v>
      </c>
      <c r="E193" s="111">
        <v>4724</v>
      </c>
      <c r="F193" s="111">
        <v>1565</v>
      </c>
      <c r="G193" s="111">
        <v>459</v>
      </c>
      <c r="H193" s="111">
        <v>35355</v>
      </c>
      <c r="I193" s="117"/>
      <c r="J193" s="117"/>
      <c r="K193" s="117"/>
      <c r="L193" s="117"/>
    </row>
    <row r="194" spans="1:12" ht="10.25" customHeight="1" x14ac:dyDescent="0.15">
      <c r="A194" s="118" t="s">
        <v>237</v>
      </c>
      <c r="B194" s="111">
        <v>282</v>
      </c>
      <c r="C194" s="111">
        <v>3818</v>
      </c>
      <c r="D194" s="112">
        <v>13.5</v>
      </c>
      <c r="E194" s="111">
        <v>232</v>
      </c>
      <c r="F194" s="111">
        <v>77</v>
      </c>
      <c r="G194" s="111">
        <v>23</v>
      </c>
      <c r="H194" s="111">
        <v>2246</v>
      </c>
      <c r="I194" s="117"/>
      <c r="J194" s="117"/>
      <c r="K194" s="117"/>
      <c r="L194" s="117"/>
    </row>
    <row r="195" spans="1:12" ht="10.25" customHeight="1" x14ac:dyDescent="0.15">
      <c r="A195" s="118" t="s">
        <v>238</v>
      </c>
      <c r="B195" s="111">
        <v>63</v>
      </c>
      <c r="C195" s="111">
        <v>4907</v>
      </c>
      <c r="D195" s="112">
        <v>77.400000000000006</v>
      </c>
      <c r="E195" s="111">
        <v>935</v>
      </c>
      <c r="F195" s="111">
        <v>310</v>
      </c>
      <c r="G195" s="111">
        <v>91</v>
      </c>
      <c r="H195" s="111">
        <v>5910</v>
      </c>
      <c r="I195" s="117"/>
      <c r="J195" s="117"/>
      <c r="K195" s="117"/>
      <c r="L195" s="117"/>
    </row>
    <row r="196" spans="1:12" ht="10.25" customHeight="1" x14ac:dyDescent="0.15">
      <c r="A196" s="118" t="s">
        <v>240</v>
      </c>
      <c r="B196" s="111">
        <v>305</v>
      </c>
      <c r="C196" s="111">
        <v>1946</v>
      </c>
      <c r="D196" s="112">
        <v>6.4</v>
      </c>
      <c r="E196" s="111">
        <v>211</v>
      </c>
      <c r="F196" s="111">
        <v>70</v>
      </c>
      <c r="G196" s="111">
        <v>20</v>
      </c>
      <c r="H196" s="111">
        <v>1909</v>
      </c>
      <c r="I196" s="117"/>
      <c r="J196" s="117"/>
      <c r="K196" s="117"/>
      <c r="L196" s="117"/>
    </row>
    <row r="197" spans="1:12" ht="10.25" customHeight="1" x14ac:dyDescent="0.15">
      <c r="A197" s="118" t="s">
        <v>116</v>
      </c>
      <c r="B197" s="111">
        <v>65</v>
      </c>
      <c r="C197" s="111">
        <v>361</v>
      </c>
      <c r="D197" s="112">
        <v>5.5</v>
      </c>
      <c r="E197" s="111">
        <v>47</v>
      </c>
      <c r="F197" s="111">
        <v>16</v>
      </c>
      <c r="G197" s="111">
        <v>5</v>
      </c>
      <c r="H197" s="111">
        <v>306</v>
      </c>
      <c r="I197" s="117"/>
      <c r="J197" s="117"/>
      <c r="K197" s="117"/>
      <c r="L197" s="117"/>
    </row>
    <row r="198" spans="1:12" ht="10.25" customHeight="1" x14ac:dyDescent="0.15">
      <c r="A198" s="114"/>
      <c r="B198" s="111"/>
      <c r="C198" s="111"/>
      <c r="D198" s="112"/>
      <c r="E198" s="111"/>
      <c r="F198" s="111"/>
      <c r="G198" s="111"/>
      <c r="H198" s="111"/>
      <c r="I198" s="117"/>
      <c r="J198" s="117"/>
      <c r="K198" s="117"/>
      <c r="L198" s="117"/>
    </row>
    <row r="199" spans="1:12" ht="10.25" customHeight="1" x14ac:dyDescent="0.15">
      <c r="A199" s="115" t="s">
        <v>248</v>
      </c>
      <c r="B199" s="111"/>
      <c r="C199" s="111"/>
      <c r="D199" s="112"/>
      <c r="E199" s="111"/>
      <c r="F199" s="111"/>
      <c r="G199" s="111"/>
      <c r="H199" s="111"/>
      <c r="I199" s="117"/>
      <c r="J199" s="117"/>
      <c r="K199" s="117"/>
      <c r="L199" s="117"/>
    </row>
    <row r="200" spans="1:12" ht="10.25" customHeight="1" x14ac:dyDescent="0.15">
      <c r="A200" s="118" t="s">
        <v>235</v>
      </c>
      <c r="B200" s="111">
        <v>3589</v>
      </c>
      <c r="C200" s="111">
        <v>54321</v>
      </c>
      <c r="D200" s="112">
        <v>15.1</v>
      </c>
      <c r="E200" s="111">
        <v>8386</v>
      </c>
      <c r="F200" s="111">
        <v>2778</v>
      </c>
      <c r="G200" s="111">
        <v>814</v>
      </c>
      <c r="H200" s="111">
        <v>63402</v>
      </c>
      <c r="I200" s="117"/>
      <c r="J200" s="117"/>
      <c r="K200" s="117"/>
      <c r="L200" s="117"/>
    </row>
    <row r="201" spans="1:12" ht="10.25" customHeight="1" x14ac:dyDescent="0.15">
      <c r="A201" s="118" t="s">
        <v>244</v>
      </c>
      <c r="B201" s="111">
        <v>34</v>
      </c>
      <c r="C201" s="111">
        <v>2604</v>
      </c>
      <c r="D201" s="112">
        <v>76.5</v>
      </c>
      <c r="E201" s="111">
        <v>469</v>
      </c>
      <c r="F201" s="111">
        <v>156</v>
      </c>
      <c r="G201" s="111">
        <v>46</v>
      </c>
      <c r="H201" s="111">
        <v>3153</v>
      </c>
      <c r="I201" s="117"/>
      <c r="J201" s="117"/>
      <c r="K201" s="117"/>
      <c r="L201" s="117"/>
    </row>
    <row r="202" spans="1:12" ht="10.25" customHeight="1" x14ac:dyDescent="0.15">
      <c r="A202" s="118" t="s">
        <v>249</v>
      </c>
      <c r="B202" s="111">
        <v>780</v>
      </c>
      <c r="C202" s="111">
        <v>6381</v>
      </c>
      <c r="D202" s="112">
        <v>8.1999999999999993</v>
      </c>
      <c r="E202" s="111">
        <v>312</v>
      </c>
      <c r="F202" s="111">
        <v>104</v>
      </c>
      <c r="G202" s="111">
        <v>30</v>
      </c>
      <c r="H202" s="111">
        <v>2476</v>
      </c>
      <c r="I202" s="117"/>
      <c r="J202" s="117"/>
      <c r="K202" s="117"/>
      <c r="L202" s="117"/>
    </row>
    <row r="203" spans="1:12" ht="10.25" customHeight="1" x14ac:dyDescent="0.15">
      <c r="A203" s="114"/>
      <c r="B203" s="111"/>
      <c r="C203" s="111"/>
      <c r="D203" s="112"/>
      <c r="E203" s="111"/>
      <c r="F203" s="111"/>
      <c r="G203" s="111"/>
      <c r="H203" s="111"/>
      <c r="I203" s="117"/>
      <c r="J203" s="117"/>
      <c r="K203" s="117"/>
      <c r="L203" s="117"/>
    </row>
    <row r="204" spans="1:12" ht="10.25" customHeight="1" x14ac:dyDescent="0.15">
      <c r="A204" s="115" t="s">
        <v>250</v>
      </c>
      <c r="B204" s="111"/>
      <c r="C204" s="111"/>
      <c r="D204" s="112"/>
      <c r="E204" s="111"/>
      <c r="F204" s="111"/>
      <c r="G204" s="111"/>
      <c r="H204" s="111"/>
      <c r="I204" s="117"/>
      <c r="J204" s="117"/>
      <c r="K204" s="117"/>
      <c r="L204" s="117"/>
    </row>
    <row r="205" spans="1:12" ht="10.25" customHeight="1" x14ac:dyDescent="0.15">
      <c r="A205" s="118" t="s">
        <v>235</v>
      </c>
      <c r="B205" s="111">
        <v>1910</v>
      </c>
      <c r="C205" s="111">
        <v>27490</v>
      </c>
      <c r="D205" s="112">
        <v>14.4</v>
      </c>
      <c r="E205" s="111">
        <v>4146</v>
      </c>
      <c r="F205" s="111">
        <v>1373</v>
      </c>
      <c r="G205" s="111">
        <v>402</v>
      </c>
      <c r="H205" s="111">
        <v>30298</v>
      </c>
      <c r="I205" s="117"/>
      <c r="J205" s="117"/>
      <c r="K205" s="117"/>
      <c r="L205" s="117"/>
    </row>
    <row r="206" spans="1:12" ht="10.25" customHeight="1" x14ac:dyDescent="0.15">
      <c r="A206" s="118" t="s">
        <v>244</v>
      </c>
      <c r="B206" s="111">
        <v>1560</v>
      </c>
      <c r="C206" s="111">
        <v>28973</v>
      </c>
      <c r="D206" s="112">
        <v>18.600000000000001</v>
      </c>
      <c r="E206" s="111">
        <v>4586</v>
      </c>
      <c r="F206" s="111">
        <v>1519</v>
      </c>
      <c r="G206" s="111">
        <v>445</v>
      </c>
      <c r="H206" s="111">
        <v>35228</v>
      </c>
      <c r="I206" s="117"/>
      <c r="J206" s="117"/>
      <c r="K206" s="117"/>
      <c r="L206" s="117"/>
    </row>
    <row r="207" spans="1:12" ht="10.25" customHeight="1" x14ac:dyDescent="0.15">
      <c r="A207" s="118" t="s">
        <v>251</v>
      </c>
      <c r="B207" s="111">
        <v>933</v>
      </c>
      <c r="C207" s="111">
        <v>6844</v>
      </c>
      <c r="D207" s="112">
        <v>7.3</v>
      </c>
      <c r="E207" s="111">
        <v>436</v>
      </c>
      <c r="F207" s="111">
        <v>144</v>
      </c>
      <c r="G207" s="111">
        <v>42</v>
      </c>
      <c r="H207" s="111">
        <v>3505</v>
      </c>
      <c r="I207" s="117"/>
      <c r="J207" s="117"/>
      <c r="K207" s="117"/>
      <c r="L207" s="117"/>
    </row>
    <row r="208" spans="1:12" ht="10.25" customHeight="1" x14ac:dyDescent="0.15">
      <c r="A208" s="114"/>
      <c r="B208" s="111"/>
      <c r="C208" s="111"/>
      <c r="D208" s="112"/>
      <c r="E208" s="111"/>
      <c r="F208" s="111"/>
      <c r="G208" s="111"/>
      <c r="H208" s="111"/>
      <c r="I208" s="117"/>
      <c r="J208" s="117"/>
      <c r="K208" s="117"/>
      <c r="L208" s="117"/>
    </row>
    <row r="209" spans="1:12" ht="10.25" customHeight="1" x14ac:dyDescent="0.15">
      <c r="A209" s="115" t="s">
        <v>252</v>
      </c>
      <c r="B209" s="111"/>
      <c r="C209" s="111"/>
      <c r="D209" s="112"/>
      <c r="E209" s="111"/>
      <c r="F209" s="111"/>
      <c r="G209" s="111"/>
      <c r="H209" s="111"/>
      <c r="I209" s="117"/>
      <c r="J209" s="117"/>
      <c r="K209" s="117"/>
      <c r="L209" s="117"/>
    </row>
    <row r="210" spans="1:12" ht="10.25" customHeight="1" x14ac:dyDescent="0.15">
      <c r="A210" s="118" t="s">
        <v>235</v>
      </c>
      <c r="B210" s="111">
        <v>410</v>
      </c>
      <c r="C210" s="111">
        <v>13161</v>
      </c>
      <c r="D210" s="112">
        <v>32.1</v>
      </c>
      <c r="E210" s="111">
        <v>2561</v>
      </c>
      <c r="F210" s="111">
        <v>848</v>
      </c>
      <c r="G210" s="111">
        <v>249</v>
      </c>
      <c r="H210" s="111">
        <v>17845</v>
      </c>
      <c r="I210" s="117"/>
      <c r="J210" s="117"/>
      <c r="K210" s="117"/>
      <c r="L210" s="117"/>
    </row>
    <row r="211" spans="1:12" ht="10.25" customHeight="1" x14ac:dyDescent="0.15">
      <c r="A211" s="118" t="s">
        <v>244</v>
      </c>
      <c r="B211" s="111">
        <v>391</v>
      </c>
      <c r="C211" s="111">
        <v>9076</v>
      </c>
      <c r="D211" s="112">
        <v>23.2</v>
      </c>
      <c r="E211" s="111">
        <v>1598</v>
      </c>
      <c r="F211" s="111">
        <v>529</v>
      </c>
      <c r="G211" s="111">
        <v>155</v>
      </c>
      <c r="H211" s="111">
        <v>11932</v>
      </c>
      <c r="I211" s="117"/>
      <c r="J211" s="117"/>
      <c r="K211" s="117"/>
      <c r="L211" s="117"/>
    </row>
    <row r="212" spans="1:12" ht="10.25" customHeight="1" x14ac:dyDescent="0.15">
      <c r="A212" s="118" t="s">
        <v>253</v>
      </c>
      <c r="B212" s="111">
        <v>3603</v>
      </c>
      <c r="C212" s="111">
        <v>41070</v>
      </c>
      <c r="D212" s="112">
        <v>11.4</v>
      </c>
      <c r="E212" s="111">
        <v>5010</v>
      </c>
      <c r="F212" s="111">
        <v>1659</v>
      </c>
      <c r="G212" s="111">
        <v>486</v>
      </c>
      <c r="H212" s="111">
        <v>39254</v>
      </c>
      <c r="I212" s="117"/>
      <c r="J212" s="117"/>
      <c r="K212" s="117"/>
      <c r="L212" s="117"/>
    </row>
    <row r="213" spans="1:12" ht="10.25" customHeight="1" x14ac:dyDescent="0.15">
      <c r="A213" s="115"/>
      <c r="B213" s="111"/>
      <c r="C213" s="111"/>
      <c r="D213" s="112"/>
      <c r="E213" s="111"/>
      <c r="F213" s="111"/>
      <c r="G213" s="111"/>
      <c r="H213" s="111"/>
      <c r="I213" s="117"/>
      <c r="J213" s="117"/>
      <c r="K213" s="117"/>
      <c r="L213" s="117"/>
    </row>
    <row r="214" spans="1:12" ht="10.25" customHeight="1" x14ac:dyDescent="0.15">
      <c r="A214" s="115" t="s">
        <v>254</v>
      </c>
      <c r="B214" s="111"/>
      <c r="C214" s="111"/>
      <c r="D214" s="112"/>
      <c r="E214" s="111"/>
      <c r="F214" s="111"/>
      <c r="G214" s="111"/>
      <c r="H214" s="111"/>
      <c r="I214" s="117"/>
      <c r="J214" s="117"/>
      <c r="K214" s="117"/>
      <c r="L214" s="117"/>
    </row>
    <row r="215" spans="1:12" ht="10.25" customHeight="1" x14ac:dyDescent="0.15">
      <c r="A215" s="115" t="s">
        <v>234</v>
      </c>
      <c r="B215" s="111"/>
      <c r="C215" s="111"/>
      <c r="D215" s="112"/>
      <c r="E215" s="111"/>
      <c r="F215" s="111"/>
      <c r="G215" s="111"/>
      <c r="H215" s="111"/>
      <c r="I215" s="117"/>
      <c r="J215" s="117"/>
      <c r="K215" s="117"/>
      <c r="L215" s="117"/>
    </row>
    <row r="216" spans="1:12" ht="10.25" customHeight="1" x14ac:dyDescent="0.15">
      <c r="A216" s="118" t="s">
        <v>255</v>
      </c>
      <c r="B216" s="111">
        <v>3971</v>
      </c>
      <c r="C216" s="111">
        <v>59991</v>
      </c>
      <c r="D216" s="112">
        <v>15.1</v>
      </c>
      <c r="E216" s="111">
        <v>8887</v>
      </c>
      <c r="F216" s="111">
        <v>2944</v>
      </c>
      <c r="G216" s="111">
        <v>863</v>
      </c>
      <c r="H216" s="111">
        <v>66253</v>
      </c>
      <c r="I216" s="117"/>
      <c r="J216" s="117"/>
      <c r="K216" s="117"/>
      <c r="L216" s="117"/>
    </row>
    <row r="217" spans="1:12" ht="10.25" customHeight="1" x14ac:dyDescent="0.15">
      <c r="A217" s="118" t="s">
        <v>256</v>
      </c>
      <c r="B217" s="111">
        <v>3623</v>
      </c>
      <c r="C217" s="111">
        <v>56925</v>
      </c>
      <c r="D217" s="112">
        <v>15.7</v>
      </c>
      <c r="E217" s="111">
        <v>8855</v>
      </c>
      <c r="F217" s="111">
        <v>2933</v>
      </c>
      <c r="G217" s="111">
        <v>860</v>
      </c>
      <c r="H217" s="111">
        <v>66555</v>
      </c>
      <c r="I217" s="117"/>
      <c r="J217" s="117"/>
      <c r="K217" s="117"/>
      <c r="L217" s="117"/>
    </row>
    <row r="218" spans="1:12" ht="10.25" customHeight="1" x14ac:dyDescent="0.15">
      <c r="A218" s="118" t="s">
        <v>257</v>
      </c>
      <c r="B218" s="111">
        <v>3470</v>
      </c>
      <c r="C218" s="111">
        <v>56463</v>
      </c>
      <c r="D218" s="112">
        <v>16.3</v>
      </c>
      <c r="E218" s="111">
        <v>8732</v>
      </c>
      <c r="F218" s="111">
        <v>2892</v>
      </c>
      <c r="G218" s="111">
        <v>848</v>
      </c>
      <c r="H218" s="111">
        <v>65526</v>
      </c>
      <c r="I218" s="117"/>
      <c r="J218" s="117"/>
      <c r="K218" s="117"/>
      <c r="L218" s="117"/>
    </row>
    <row r="219" spans="1:12" ht="10.25" customHeight="1" x14ac:dyDescent="0.15">
      <c r="A219" s="118" t="s">
        <v>258</v>
      </c>
      <c r="B219" s="111">
        <v>801</v>
      </c>
      <c r="C219" s="111">
        <v>22237</v>
      </c>
      <c r="D219" s="112">
        <v>27.8</v>
      </c>
      <c r="E219" s="111">
        <v>4158</v>
      </c>
      <c r="F219" s="111">
        <v>1377</v>
      </c>
      <c r="G219" s="111">
        <v>404</v>
      </c>
      <c r="H219" s="111">
        <v>29777</v>
      </c>
      <c r="I219" s="117"/>
      <c r="J219" s="117"/>
      <c r="K219" s="117"/>
      <c r="L219" s="117"/>
    </row>
    <row r="220" spans="1:12" ht="10.25" customHeight="1" x14ac:dyDescent="0.15">
      <c r="A220" s="118" t="s">
        <v>259</v>
      </c>
      <c r="B220" s="111">
        <v>119</v>
      </c>
      <c r="C220" s="111">
        <v>3138</v>
      </c>
      <c r="D220" s="112">
        <v>26.5</v>
      </c>
      <c r="E220" s="111">
        <v>426</v>
      </c>
      <c r="F220" s="111">
        <v>141</v>
      </c>
      <c r="G220" s="111">
        <v>41</v>
      </c>
      <c r="H220" s="111">
        <v>3117</v>
      </c>
      <c r="I220" s="117"/>
      <c r="J220" s="117"/>
      <c r="K220" s="117"/>
      <c r="L220" s="117"/>
    </row>
    <row r="221" spans="1:12" ht="10.25" customHeight="1" x14ac:dyDescent="0.15">
      <c r="A221" s="114" t="s">
        <v>260</v>
      </c>
      <c r="B221" s="111"/>
      <c r="C221" s="111"/>
      <c r="D221" s="112"/>
      <c r="E221" s="111"/>
      <c r="F221" s="111"/>
      <c r="G221" s="111"/>
      <c r="H221" s="111"/>
      <c r="I221" s="117"/>
      <c r="J221" s="117"/>
      <c r="K221" s="117"/>
      <c r="L221" s="117"/>
    </row>
    <row r="222" spans="1:12" ht="10.25" customHeight="1" x14ac:dyDescent="0.15">
      <c r="A222" s="118" t="s">
        <v>261</v>
      </c>
      <c r="B222" s="111">
        <v>149</v>
      </c>
      <c r="C222" s="111">
        <v>12821</v>
      </c>
      <c r="D222" s="112">
        <v>85.9</v>
      </c>
      <c r="E222" s="111">
        <v>2687</v>
      </c>
      <c r="F222" s="111">
        <v>890</v>
      </c>
      <c r="G222" s="111">
        <v>261</v>
      </c>
      <c r="H222" s="111">
        <v>18679</v>
      </c>
      <c r="I222" s="117"/>
      <c r="J222" s="117"/>
      <c r="K222" s="117"/>
      <c r="L222" s="117"/>
    </row>
    <row r="223" spans="1:12" ht="10.25" customHeight="1" x14ac:dyDescent="0.15">
      <c r="A223" s="114"/>
      <c r="B223" s="111"/>
      <c r="C223" s="111"/>
      <c r="D223" s="112"/>
      <c r="E223" s="111"/>
      <c r="F223" s="111"/>
      <c r="G223" s="111"/>
      <c r="H223" s="111"/>
      <c r="I223" s="117"/>
      <c r="J223" s="117"/>
      <c r="K223" s="117"/>
      <c r="L223" s="117"/>
    </row>
    <row r="224" spans="1:12" ht="10.25" customHeight="1" x14ac:dyDescent="0.15">
      <c r="A224" s="115" t="s">
        <v>262</v>
      </c>
      <c r="B224" s="111"/>
      <c r="C224" s="111"/>
      <c r="D224" s="112"/>
      <c r="E224" s="111"/>
      <c r="F224" s="111"/>
      <c r="G224" s="111"/>
      <c r="H224" s="111"/>
      <c r="I224" s="117"/>
      <c r="J224" s="117"/>
      <c r="K224" s="117"/>
      <c r="L224" s="117"/>
    </row>
    <row r="225" spans="1:12" ht="10.25" customHeight="1" x14ac:dyDescent="0.15">
      <c r="A225" s="118" t="s">
        <v>263</v>
      </c>
      <c r="B225" s="111">
        <v>432</v>
      </c>
      <c r="C225" s="111">
        <v>3315</v>
      </c>
      <c r="D225" s="112">
        <v>7.7</v>
      </c>
      <c r="E225" s="111">
        <v>281</v>
      </c>
      <c r="F225" s="111">
        <v>93</v>
      </c>
      <c r="G225" s="111">
        <v>27</v>
      </c>
      <c r="H225" s="111">
        <v>2779</v>
      </c>
      <c r="I225" s="117"/>
      <c r="J225" s="117"/>
      <c r="K225" s="117"/>
      <c r="L225" s="117"/>
    </row>
    <row r="226" spans="1:12" ht="10.25" customHeight="1" x14ac:dyDescent="0.15">
      <c r="A226" s="118" t="s">
        <v>264</v>
      </c>
      <c r="B226" s="111">
        <v>520</v>
      </c>
      <c r="C226" s="111">
        <v>6829</v>
      </c>
      <c r="D226" s="112">
        <v>13.1</v>
      </c>
      <c r="E226" s="111">
        <v>565</v>
      </c>
      <c r="F226" s="111">
        <v>187</v>
      </c>
      <c r="G226" s="111">
        <v>55</v>
      </c>
      <c r="H226" s="111">
        <v>4645</v>
      </c>
      <c r="I226" s="117"/>
      <c r="J226" s="117"/>
      <c r="K226" s="117"/>
      <c r="L226" s="117"/>
    </row>
    <row r="227" spans="1:12" ht="10.25" customHeight="1" x14ac:dyDescent="0.15">
      <c r="A227" s="118" t="s">
        <v>265</v>
      </c>
      <c r="B227" s="111">
        <v>498</v>
      </c>
      <c r="C227" s="111">
        <v>8107</v>
      </c>
      <c r="D227" s="112">
        <v>16.3</v>
      </c>
      <c r="E227" s="111">
        <v>1193</v>
      </c>
      <c r="F227" s="111">
        <v>395</v>
      </c>
      <c r="G227" s="111">
        <v>116</v>
      </c>
      <c r="H227" s="111">
        <v>9096</v>
      </c>
      <c r="I227" s="117"/>
      <c r="J227" s="117"/>
      <c r="K227" s="117"/>
      <c r="L227" s="117"/>
    </row>
    <row r="228" spans="1:12" ht="10.25" customHeight="1" x14ac:dyDescent="0.15">
      <c r="A228" s="118" t="s">
        <v>266</v>
      </c>
      <c r="B228" s="111">
        <v>2953</v>
      </c>
      <c r="C228" s="111">
        <v>45055</v>
      </c>
      <c r="D228" s="112">
        <v>15.3</v>
      </c>
      <c r="E228" s="111">
        <v>7129</v>
      </c>
      <c r="F228" s="111">
        <v>2361</v>
      </c>
      <c r="G228" s="111">
        <v>692</v>
      </c>
      <c r="H228" s="111">
        <v>52512</v>
      </c>
      <c r="I228" s="117"/>
      <c r="J228" s="117"/>
      <c r="K228" s="117"/>
      <c r="L228" s="117"/>
    </row>
    <row r="229" spans="1:12" ht="10.25" customHeight="1" x14ac:dyDescent="0.15">
      <c r="A229" s="114"/>
      <c r="B229" s="111"/>
      <c r="C229" s="111"/>
      <c r="D229" s="112"/>
      <c r="E229" s="111"/>
      <c r="F229" s="111"/>
      <c r="G229" s="111"/>
      <c r="H229" s="111"/>
      <c r="I229" s="117"/>
      <c r="J229" s="117"/>
      <c r="K229" s="117"/>
      <c r="L229" s="117"/>
    </row>
    <row r="230" spans="1:12" ht="10.25" customHeight="1" x14ac:dyDescent="0.15">
      <c r="A230" s="115" t="s">
        <v>267</v>
      </c>
      <c r="B230" s="111"/>
      <c r="C230" s="111"/>
      <c r="D230" s="112"/>
      <c r="E230" s="111"/>
      <c r="F230" s="111"/>
      <c r="G230" s="111"/>
      <c r="H230" s="111"/>
      <c r="I230" s="117"/>
      <c r="J230" s="117"/>
      <c r="K230" s="117"/>
      <c r="L230" s="117"/>
    </row>
    <row r="231" spans="1:12" ht="10.25" customHeight="1" x14ac:dyDescent="0.15">
      <c r="A231" s="118" t="s">
        <v>268</v>
      </c>
      <c r="B231" s="111">
        <v>780</v>
      </c>
      <c r="C231" s="111">
        <v>6381</v>
      </c>
      <c r="D231" s="112">
        <v>8.1999999999999993</v>
      </c>
      <c r="E231" s="111">
        <v>312</v>
      </c>
      <c r="F231" s="111">
        <v>104</v>
      </c>
      <c r="G231" s="111">
        <v>30</v>
      </c>
      <c r="H231" s="111">
        <v>2476</v>
      </c>
      <c r="I231" s="117"/>
      <c r="J231" s="117"/>
      <c r="K231" s="117"/>
      <c r="L231" s="117"/>
    </row>
    <row r="232" spans="1:12" ht="10.25" customHeight="1" x14ac:dyDescent="0.15">
      <c r="A232" s="118" t="s">
        <v>264</v>
      </c>
      <c r="B232" s="111">
        <v>983</v>
      </c>
      <c r="C232" s="111">
        <v>16583</v>
      </c>
      <c r="D232" s="112">
        <v>16.899999999999999</v>
      </c>
      <c r="E232" s="111">
        <v>1339</v>
      </c>
      <c r="F232" s="111">
        <v>444</v>
      </c>
      <c r="G232" s="111">
        <v>130</v>
      </c>
      <c r="H232" s="111">
        <v>10901</v>
      </c>
      <c r="I232" s="117"/>
      <c r="J232" s="117"/>
      <c r="K232" s="117"/>
      <c r="L232" s="117"/>
    </row>
    <row r="233" spans="1:12" ht="10.25" customHeight="1" x14ac:dyDescent="0.15">
      <c r="A233" s="118" t="s">
        <v>265</v>
      </c>
      <c r="B233" s="111">
        <v>629</v>
      </c>
      <c r="C233" s="111">
        <v>13211</v>
      </c>
      <c r="D233" s="112">
        <v>21</v>
      </c>
      <c r="E233" s="111">
        <v>2252</v>
      </c>
      <c r="F233" s="111">
        <v>746</v>
      </c>
      <c r="G233" s="111">
        <v>219</v>
      </c>
      <c r="H233" s="111">
        <v>16916</v>
      </c>
      <c r="I233" s="117"/>
      <c r="J233" s="117"/>
      <c r="K233" s="117"/>
      <c r="L233" s="117"/>
    </row>
    <row r="234" spans="1:12" ht="10.25" customHeight="1" x14ac:dyDescent="0.15">
      <c r="A234" s="118" t="s">
        <v>266</v>
      </c>
      <c r="B234" s="111">
        <v>2011</v>
      </c>
      <c r="C234" s="111">
        <v>27132</v>
      </c>
      <c r="D234" s="112">
        <v>13.5</v>
      </c>
      <c r="E234" s="111">
        <v>5265</v>
      </c>
      <c r="F234" s="111">
        <v>1744</v>
      </c>
      <c r="G234" s="111">
        <v>511</v>
      </c>
      <c r="H234" s="111">
        <v>38738</v>
      </c>
      <c r="I234" s="117"/>
      <c r="J234" s="117"/>
      <c r="K234" s="117"/>
      <c r="L234" s="117"/>
    </row>
    <row r="235" spans="1:12" ht="10.25" customHeight="1" x14ac:dyDescent="0.15">
      <c r="A235" s="114"/>
      <c r="B235" s="111"/>
      <c r="C235" s="111"/>
      <c r="D235" s="112"/>
      <c r="E235" s="111"/>
      <c r="F235" s="111"/>
      <c r="G235" s="111"/>
      <c r="H235" s="111"/>
      <c r="I235" s="117"/>
      <c r="J235" s="117"/>
      <c r="K235" s="117"/>
      <c r="L235" s="117"/>
    </row>
    <row r="236" spans="1:12" ht="10.25" customHeight="1" x14ac:dyDescent="0.15">
      <c r="A236" s="115" t="s">
        <v>269</v>
      </c>
      <c r="B236" s="111"/>
      <c r="C236" s="111"/>
      <c r="D236" s="112"/>
      <c r="E236" s="111"/>
      <c r="F236" s="111"/>
      <c r="G236" s="111"/>
      <c r="H236" s="111"/>
      <c r="I236" s="117"/>
      <c r="J236" s="117"/>
      <c r="K236" s="117"/>
      <c r="L236" s="117"/>
    </row>
    <row r="237" spans="1:12" ht="10.25" customHeight="1" x14ac:dyDescent="0.15">
      <c r="A237" s="118" t="s">
        <v>270</v>
      </c>
      <c r="B237" s="111" t="s">
        <v>182</v>
      </c>
      <c r="C237" s="111" t="s">
        <v>182</v>
      </c>
      <c r="D237" s="112" t="s">
        <v>182</v>
      </c>
      <c r="E237" s="111" t="s">
        <v>182</v>
      </c>
      <c r="F237" s="111" t="s">
        <v>182</v>
      </c>
      <c r="G237" s="111" t="s">
        <v>182</v>
      </c>
      <c r="H237" s="111" t="s">
        <v>182</v>
      </c>
      <c r="I237" s="117"/>
      <c r="J237" s="117"/>
      <c r="K237" s="117"/>
      <c r="L237" s="117"/>
    </row>
    <row r="238" spans="1:12" ht="10.25" customHeight="1" x14ac:dyDescent="0.15">
      <c r="A238" s="118" t="s">
        <v>264</v>
      </c>
      <c r="B238" s="111">
        <v>929</v>
      </c>
      <c r="C238" s="111">
        <v>10203</v>
      </c>
      <c r="D238" s="112">
        <v>11</v>
      </c>
      <c r="E238" s="111">
        <v>679</v>
      </c>
      <c r="F238" s="111">
        <v>225</v>
      </c>
      <c r="G238" s="111">
        <v>66</v>
      </c>
      <c r="H238" s="111">
        <v>5942</v>
      </c>
      <c r="I238" s="117"/>
      <c r="J238" s="117"/>
      <c r="K238" s="117"/>
      <c r="L238" s="117"/>
    </row>
    <row r="239" spans="1:12" ht="10.25" customHeight="1" x14ac:dyDescent="0.15">
      <c r="A239" s="118" t="s">
        <v>265</v>
      </c>
      <c r="B239" s="111">
        <v>1108</v>
      </c>
      <c r="C239" s="111">
        <v>18288</v>
      </c>
      <c r="D239" s="112">
        <v>16.5</v>
      </c>
      <c r="E239" s="111">
        <v>2698</v>
      </c>
      <c r="F239" s="111">
        <v>894</v>
      </c>
      <c r="G239" s="111">
        <v>262</v>
      </c>
      <c r="H239" s="111">
        <v>20893</v>
      </c>
      <c r="I239" s="117"/>
      <c r="J239" s="117"/>
      <c r="K239" s="117"/>
      <c r="L239" s="117"/>
    </row>
    <row r="240" spans="1:12" ht="10.25" customHeight="1" x14ac:dyDescent="0.15">
      <c r="A240" s="118" t="s">
        <v>266</v>
      </c>
      <c r="B240" s="111">
        <v>2176</v>
      </c>
      <c r="C240" s="111">
        <v>32789</v>
      </c>
      <c r="D240" s="112">
        <v>15.1</v>
      </c>
      <c r="E240" s="111">
        <v>5740</v>
      </c>
      <c r="F240" s="111">
        <v>1901</v>
      </c>
      <c r="G240" s="111">
        <v>557</v>
      </c>
      <c r="H240" s="111">
        <v>41762</v>
      </c>
      <c r="I240" s="117"/>
      <c r="J240" s="117"/>
      <c r="K240" s="117"/>
      <c r="L240" s="117"/>
    </row>
    <row r="241" spans="1:12" ht="10.25" customHeight="1" x14ac:dyDescent="0.15">
      <c r="A241" s="114" t="s">
        <v>271</v>
      </c>
      <c r="B241" s="111"/>
      <c r="C241" s="111"/>
      <c r="D241" s="112"/>
      <c r="E241" s="111"/>
      <c r="F241" s="111"/>
      <c r="G241" s="111"/>
      <c r="H241" s="111"/>
      <c r="I241" s="117"/>
      <c r="J241" s="117"/>
      <c r="K241" s="117"/>
      <c r="L241" s="117"/>
    </row>
    <row r="242" spans="1:12" ht="10.25" customHeight="1" x14ac:dyDescent="0.15">
      <c r="A242" s="118" t="s">
        <v>272</v>
      </c>
      <c r="B242" s="111">
        <v>144</v>
      </c>
      <c r="C242" s="111">
        <v>1733</v>
      </c>
      <c r="D242" s="112">
        <v>12.1</v>
      </c>
      <c r="E242" s="111">
        <v>37</v>
      </c>
      <c r="F242" s="111">
        <v>12</v>
      </c>
      <c r="G242" s="111">
        <v>4</v>
      </c>
      <c r="H242" s="111">
        <v>325</v>
      </c>
      <c r="I242" s="117"/>
      <c r="J242" s="117"/>
      <c r="K242" s="117"/>
      <c r="L242" s="117"/>
    </row>
    <row r="243" spans="1:12" ht="10.25" customHeight="1" x14ac:dyDescent="0.15">
      <c r="A243" s="114"/>
      <c r="B243" s="111"/>
      <c r="C243" s="111"/>
      <c r="D243" s="112"/>
      <c r="E243" s="111"/>
      <c r="F243" s="111"/>
      <c r="G243" s="111"/>
      <c r="H243" s="111"/>
      <c r="I243" s="117"/>
      <c r="J243" s="117"/>
      <c r="K243" s="117"/>
      <c r="L243" s="117"/>
    </row>
    <row r="244" spans="1:12" ht="10.25" customHeight="1" x14ac:dyDescent="0.15">
      <c r="A244" s="115" t="s">
        <v>273</v>
      </c>
      <c r="B244" s="111"/>
      <c r="C244" s="111"/>
      <c r="D244" s="112"/>
      <c r="E244" s="111"/>
      <c r="F244" s="111"/>
      <c r="G244" s="111"/>
      <c r="H244" s="111"/>
      <c r="I244" s="117"/>
      <c r="J244" s="117"/>
      <c r="K244" s="117"/>
      <c r="L244" s="117"/>
    </row>
    <row r="245" spans="1:12" ht="10.25" customHeight="1" x14ac:dyDescent="0.15">
      <c r="A245" s="118" t="s">
        <v>270</v>
      </c>
      <c r="B245" s="111">
        <v>1964</v>
      </c>
      <c r="C245" s="111">
        <v>17385</v>
      </c>
      <c r="D245" s="112">
        <v>8.9</v>
      </c>
      <c r="E245" s="111">
        <v>1639</v>
      </c>
      <c r="F245" s="111">
        <v>543</v>
      </c>
      <c r="G245" s="111">
        <v>159</v>
      </c>
      <c r="H245" s="111">
        <v>13104</v>
      </c>
      <c r="I245" s="117"/>
      <c r="J245" s="117"/>
      <c r="K245" s="117"/>
      <c r="L245" s="117"/>
    </row>
    <row r="246" spans="1:12" ht="10.25" customHeight="1" x14ac:dyDescent="0.15">
      <c r="A246" s="118" t="s">
        <v>264</v>
      </c>
      <c r="B246" s="111">
        <v>1882</v>
      </c>
      <c r="C246" s="111">
        <v>30948</v>
      </c>
      <c r="D246" s="112">
        <v>16.399999999999999</v>
      </c>
      <c r="E246" s="111">
        <v>4248</v>
      </c>
      <c r="F246" s="111">
        <v>1407</v>
      </c>
      <c r="G246" s="111">
        <v>412</v>
      </c>
      <c r="H246" s="111">
        <v>32796</v>
      </c>
      <c r="I246" s="117"/>
      <c r="J246" s="117"/>
      <c r="K246" s="117"/>
      <c r="L246" s="117"/>
    </row>
    <row r="247" spans="1:12" ht="10.25" customHeight="1" x14ac:dyDescent="0.15">
      <c r="A247" s="118" t="s">
        <v>274</v>
      </c>
      <c r="B247" s="111">
        <v>136</v>
      </c>
      <c r="C247" s="111">
        <v>2093</v>
      </c>
      <c r="D247" s="112">
        <v>15.4</v>
      </c>
      <c r="E247" s="111">
        <v>468</v>
      </c>
      <c r="F247" s="111">
        <v>155</v>
      </c>
      <c r="G247" s="111">
        <v>45</v>
      </c>
      <c r="H247" s="111">
        <v>3144</v>
      </c>
      <c r="I247" s="117"/>
      <c r="J247" s="117"/>
      <c r="K247" s="117"/>
      <c r="L247" s="117"/>
    </row>
    <row r="248" spans="1:12" ht="10.25" customHeight="1" x14ac:dyDescent="0.15">
      <c r="A248" s="114" t="s">
        <v>275</v>
      </c>
      <c r="B248" s="111"/>
      <c r="C248" s="111"/>
      <c r="D248" s="112"/>
      <c r="E248" s="111"/>
      <c r="F248" s="111"/>
      <c r="G248" s="111"/>
      <c r="H248" s="111"/>
      <c r="I248" s="117"/>
      <c r="J248" s="117"/>
      <c r="K248" s="117"/>
      <c r="L248" s="117"/>
    </row>
    <row r="249" spans="1:12" ht="10.25" customHeight="1" x14ac:dyDescent="0.15">
      <c r="A249" s="118" t="s">
        <v>272</v>
      </c>
      <c r="B249" s="111">
        <v>422</v>
      </c>
      <c r="C249" s="111">
        <v>12881</v>
      </c>
      <c r="D249" s="112">
        <v>30.5</v>
      </c>
      <c r="E249" s="111">
        <v>2813</v>
      </c>
      <c r="F249" s="111">
        <v>932</v>
      </c>
      <c r="G249" s="111">
        <v>273</v>
      </c>
      <c r="H249" s="111">
        <v>19987</v>
      </c>
      <c r="I249" s="117"/>
      <c r="J249" s="117"/>
      <c r="K249" s="117"/>
      <c r="L249" s="117"/>
    </row>
    <row r="250" spans="1:12" ht="10.25" customHeight="1" x14ac:dyDescent="0.15">
      <c r="A250" s="114"/>
      <c r="B250" s="111"/>
      <c r="C250" s="111"/>
      <c r="D250" s="112"/>
      <c r="E250" s="111"/>
      <c r="F250" s="111"/>
      <c r="G250" s="111"/>
      <c r="H250" s="111"/>
      <c r="I250" s="117"/>
      <c r="J250" s="117"/>
      <c r="K250" s="117"/>
      <c r="L250" s="117"/>
    </row>
    <row r="251" spans="1:12" ht="10.25" customHeight="1" x14ac:dyDescent="0.15">
      <c r="A251" s="115" t="s">
        <v>276</v>
      </c>
      <c r="B251" s="111"/>
      <c r="C251" s="111"/>
      <c r="D251" s="112"/>
      <c r="E251" s="111"/>
      <c r="F251" s="111"/>
      <c r="G251" s="111"/>
      <c r="H251" s="111"/>
      <c r="I251" s="117"/>
      <c r="J251" s="117"/>
      <c r="K251" s="117"/>
      <c r="L251" s="117"/>
    </row>
    <row r="252" spans="1:12" ht="10.25" customHeight="1" x14ac:dyDescent="0.15">
      <c r="A252" s="115" t="s">
        <v>277</v>
      </c>
      <c r="B252" s="111"/>
      <c r="C252" s="111"/>
      <c r="D252" s="112"/>
      <c r="E252" s="111"/>
      <c r="F252" s="111"/>
      <c r="G252" s="111"/>
      <c r="H252" s="111"/>
      <c r="I252" s="117"/>
      <c r="J252" s="117"/>
      <c r="K252" s="117"/>
      <c r="L252" s="117"/>
    </row>
    <row r="253" spans="1:12" ht="10.25" customHeight="1" x14ac:dyDescent="0.15">
      <c r="A253" s="118" t="s">
        <v>278</v>
      </c>
      <c r="B253" s="111">
        <v>476</v>
      </c>
      <c r="C253" s="111">
        <v>8814</v>
      </c>
      <c r="D253" s="112">
        <v>18.5</v>
      </c>
      <c r="E253" s="111">
        <v>1578</v>
      </c>
      <c r="F253" s="111">
        <v>523</v>
      </c>
      <c r="G253" s="111">
        <v>153</v>
      </c>
      <c r="H253" s="111">
        <v>11629</v>
      </c>
      <c r="I253" s="117"/>
      <c r="J253" s="117"/>
      <c r="K253" s="117"/>
      <c r="L253" s="117"/>
    </row>
    <row r="254" spans="1:12" ht="10.25" customHeight="1" x14ac:dyDescent="0.15">
      <c r="A254" s="118" t="s">
        <v>279</v>
      </c>
      <c r="B254" s="111">
        <v>278</v>
      </c>
      <c r="C254" s="111">
        <v>5442</v>
      </c>
      <c r="D254" s="112">
        <v>19.600000000000001</v>
      </c>
      <c r="E254" s="111">
        <v>1085</v>
      </c>
      <c r="F254" s="111">
        <v>359</v>
      </c>
      <c r="G254" s="111">
        <v>105</v>
      </c>
      <c r="H254" s="111">
        <v>7929</v>
      </c>
      <c r="I254" s="117"/>
      <c r="J254" s="117"/>
      <c r="K254" s="117"/>
      <c r="L254" s="117"/>
    </row>
    <row r="255" spans="1:12" ht="10.25" customHeight="1" x14ac:dyDescent="0.15">
      <c r="A255" s="118" t="s">
        <v>280</v>
      </c>
      <c r="B255" s="111">
        <v>166</v>
      </c>
      <c r="C255" s="111">
        <v>2581</v>
      </c>
      <c r="D255" s="112">
        <v>15.5</v>
      </c>
      <c r="E255" s="111">
        <v>410</v>
      </c>
      <c r="F255" s="111">
        <v>136</v>
      </c>
      <c r="G255" s="111">
        <v>40</v>
      </c>
      <c r="H255" s="111">
        <v>2946</v>
      </c>
      <c r="I255" s="117"/>
      <c r="J255" s="117"/>
      <c r="K255" s="117"/>
      <c r="L255" s="117"/>
    </row>
    <row r="256" spans="1:12" ht="10.25" customHeight="1" x14ac:dyDescent="0.15">
      <c r="A256" s="118" t="s">
        <v>281</v>
      </c>
      <c r="B256" s="111">
        <v>58</v>
      </c>
      <c r="C256" s="111">
        <v>2691</v>
      </c>
      <c r="D256" s="112">
        <v>46.5</v>
      </c>
      <c r="E256" s="111">
        <v>448</v>
      </c>
      <c r="F256" s="111">
        <v>148</v>
      </c>
      <c r="G256" s="111">
        <v>43</v>
      </c>
      <c r="H256" s="111">
        <v>3289</v>
      </c>
      <c r="I256" s="117"/>
      <c r="J256" s="117"/>
      <c r="K256" s="117"/>
      <c r="L256" s="117"/>
    </row>
    <row r="257" spans="1:12" ht="10.25" customHeight="1" x14ac:dyDescent="0.15">
      <c r="A257" s="118" t="s">
        <v>282</v>
      </c>
      <c r="B257" s="111">
        <v>1860</v>
      </c>
      <c r="C257" s="111">
        <v>19604</v>
      </c>
      <c r="D257" s="112">
        <v>10.5</v>
      </c>
      <c r="E257" s="111">
        <v>2298</v>
      </c>
      <c r="F257" s="111">
        <v>761</v>
      </c>
      <c r="G257" s="111">
        <v>223</v>
      </c>
      <c r="H257" s="111">
        <v>17887</v>
      </c>
      <c r="I257" s="117"/>
      <c r="J257" s="117"/>
      <c r="K257" s="117"/>
      <c r="L257" s="117"/>
    </row>
    <row r="258" spans="1:12" ht="10.25" customHeight="1" x14ac:dyDescent="0.15">
      <c r="A258" s="118" t="s">
        <v>283</v>
      </c>
      <c r="B258" s="111">
        <v>819</v>
      </c>
      <c r="C258" s="111">
        <v>12540</v>
      </c>
      <c r="D258" s="112">
        <v>15.3</v>
      </c>
      <c r="E258" s="111">
        <v>1701</v>
      </c>
      <c r="F258" s="111">
        <v>563</v>
      </c>
      <c r="G258" s="111">
        <v>165</v>
      </c>
      <c r="H258" s="111">
        <v>12387</v>
      </c>
      <c r="I258" s="117"/>
      <c r="J258" s="117"/>
      <c r="K258" s="117"/>
      <c r="L258" s="117"/>
    </row>
    <row r="259" spans="1:12" ht="10.25" customHeight="1" x14ac:dyDescent="0.15">
      <c r="A259" s="118" t="s">
        <v>238</v>
      </c>
      <c r="B259" s="111">
        <v>65</v>
      </c>
      <c r="C259" s="111">
        <v>5166</v>
      </c>
      <c r="D259" s="112">
        <v>79.7</v>
      </c>
      <c r="E259" s="111">
        <v>958</v>
      </c>
      <c r="F259" s="111">
        <v>317</v>
      </c>
      <c r="G259" s="111">
        <v>93</v>
      </c>
      <c r="H259" s="111">
        <v>6051</v>
      </c>
      <c r="I259" s="117"/>
      <c r="J259" s="117"/>
      <c r="K259" s="117"/>
      <c r="L259" s="117"/>
    </row>
    <row r="260" spans="1:12" ht="10.25" customHeight="1" x14ac:dyDescent="0.15">
      <c r="A260" s="118" t="s">
        <v>284</v>
      </c>
      <c r="B260" s="111">
        <v>579</v>
      </c>
      <c r="C260" s="111">
        <v>20423</v>
      </c>
      <c r="D260" s="112">
        <v>35.299999999999997</v>
      </c>
      <c r="E260" s="111">
        <v>3045</v>
      </c>
      <c r="F260" s="111">
        <v>1009</v>
      </c>
      <c r="G260" s="111">
        <v>296</v>
      </c>
      <c r="H260" s="111">
        <v>22045</v>
      </c>
      <c r="I260" s="117"/>
      <c r="J260" s="117"/>
      <c r="K260" s="117"/>
      <c r="L260" s="117"/>
    </row>
    <row r="261" spans="1:12" ht="10.25" customHeight="1" x14ac:dyDescent="0.15">
      <c r="A261" s="118" t="s">
        <v>285</v>
      </c>
      <c r="B261" s="111">
        <v>953</v>
      </c>
      <c r="C261" s="111">
        <v>18021</v>
      </c>
      <c r="D261" s="112">
        <v>18.899999999999999</v>
      </c>
      <c r="E261" s="111">
        <v>3195</v>
      </c>
      <c r="F261" s="111">
        <v>1058</v>
      </c>
      <c r="G261" s="111">
        <v>310</v>
      </c>
      <c r="H261" s="111">
        <v>24318</v>
      </c>
      <c r="I261" s="117"/>
      <c r="J261" s="117"/>
      <c r="K261" s="117"/>
      <c r="L261" s="117"/>
    </row>
    <row r="262" spans="1:12" ht="10.25" customHeight="1" x14ac:dyDescent="0.15">
      <c r="A262" s="118" t="s">
        <v>116</v>
      </c>
      <c r="B262" s="111">
        <v>198</v>
      </c>
      <c r="C262" s="111">
        <v>3242</v>
      </c>
      <c r="D262" s="112">
        <v>16.399999999999999</v>
      </c>
      <c r="E262" s="111">
        <v>508</v>
      </c>
      <c r="F262" s="111">
        <v>168</v>
      </c>
      <c r="G262" s="111">
        <v>49</v>
      </c>
      <c r="H262" s="111">
        <v>3451</v>
      </c>
      <c r="I262" s="117"/>
      <c r="J262" s="117"/>
      <c r="K262" s="117"/>
      <c r="L262" s="117"/>
    </row>
    <row r="263" spans="1:12" ht="10.25" customHeight="1" x14ac:dyDescent="0.15">
      <c r="A263" s="114"/>
      <c r="B263" s="111"/>
      <c r="C263" s="111"/>
      <c r="D263" s="112"/>
      <c r="E263" s="111"/>
      <c r="F263" s="111"/>
      <c r="G263" s="111"/>
      <c r="H263" s="111"/>
      <c r="I263" s="117"/>
      <c r="J263" s="117"/>
      <c r="K263" s="117"/>
      <c r="L263" s="117"/>
    </row>
    <row r="264" spans="1:12" ht="10.25" customHeight="1" x14ac:dyDescent="0.15">
      <c r="A264" s="115" t="s">
        <v>286</v>
      </c>
      <c r="B264" s="111"/>
      <c r="C264" s="111"/>
      <c r="D264" s="112"/>
      <c r="E264" s="111"/>
      <c r="F264" s="111"/>
      <c r="G264" s="111"/>
      <c r="H264" s="111"/>
      <c r="I264" s="117"/>
      <c r="J264" s="117"/>
      <c r="K264" s="117"/>
      <c r="L264" s="117"/>
    </row>
    <row r="265" spans="1:12" ht="10.25" customHeight="1" x14ac:dyDescent="0.15">
      <c r="A265" s="115" t="s">
        <v>277</v>
      </c>
      <c r="B265" s="111"/>
      <c r="C265" s="111"/>
      <c r="D265" s="112"/>
      <c r="E265" s="111"/>
      <c r="F265" s="111"/>
      <c r="G265" s="111"/>
      <c r="H265" s="111"/>
      <c r="I265" s="117"/>
      <c r="J265" s="117"/>
      <c r="K265" s="117"/>
      <c r="L265" s="117"/>
    </row>
    <row r="266" spans="1:12" ht="10.25" customHeight="1" x14ac:dyDescent="0.15">
      <c r="A266" s="114" t="s">
        <v>287</v>
      </c>
      <c r="B266" s="111"/>
      <c r="C266" s="111"/>
      <c r="D266" s="112"/>
      <c r="E266" s="111"/>
      <c r="F266" s="111"/>
      <c r="G266" s="111"/>
      <c r="H266" s="111"/>
      <c r="I266" s="117"/>
      <c r="J266" s="117"/>
      <c r="K266" s="117"/>
      <c r="L266" s="117"/>
    </row>
    <row r="267" spans="1:12" ht="10.25" customHeight="1" x14ac:dyDescent="0.15">
      <c r="A267" s="118" t="s">
        <v>288</v>
      </c>
      <c r="B267" s="111">
        <v>1006</v>
      </c>
      <c r="C267" s="111">
        <v>11035</v>
      </c>
      <c r="D267" s="112">
        <v>11</v>
      </c>
      <c r="E267" s="111">
        <v>1375</v>
      </c>
      <c r="F267" s="111">
        <v>455</v>
      </c>
      <c r="G267" s="111">
        <v>133</v>
      </c>
      <c r="H267" s="111">
        <v>10746</v>
      </c>
      <c r="I267" s="117"/>
      <c r="J267" s="117"/>
      <c r="K267" s="117"/>
      <c r="L267" s="117"/>
    </row>
    <row r="268" spans="1:12" ht="10.25" customHeight="1" x14ac:dyDescent="0.15">
      <c r="A268" s="118" t="s">
        <v>278</v>
      </c>
      <c r="B268" s="111">
        <v>492</v>
      </c>
      <c r="C268" s="111">
        <v>9041</v>
      </c>
      <c r="D268" s="112">
        <v>18.399999999999999</v>
      </c>
      <c r="E268" s="111">
        <v>1652</v>
      </c>
      <c r="F268" s="111">
        <v>547</v>
      </c>
      <c r="G268" s="111">
        <v>160</v>
      </c>
      <c r="H268" s="111">
        <v>12060</v>
      </c>
      <c r="I268" s="117"/>
      <c r="J268" s="117"/>
      <c r="K268" s="117"/>
      <c r="L268" s="117"/>
    </row>
    <row r="269" spans="1:12" ht="10.25" customHeight="1" x14ac:dyDescent="0.15">
      <c r="A269" s="118" t="s">
        <v>279</v>
      </c>
      <c r="B269" s="111">
        <v>288</v>
      </c>
      <c r="C269" s="111">
        <v>5426</v>
      </c>
      <c r="D269" s="112">
        <v>18.899999999999999</v>
      </c>
      <c r="E269" s="111">
        <v>1086</v>
      </c>
      <c r="F269" s="111">
        <v>360</v>
      </c>
      <c r="G269" s="111">
        <v>105</v>
      </c>
      <c r="H269" s="111">
        <v>7909</v>
      </c>
      <c r="I269" s="117"/>
      <c r="J269" s="117"/>
      <c r="K269" s="117"/>
      <c r="L269" s="117"/>
    </row>
    <row r="270" spans="1:12" ht="10.25" customHeight="1" x14ac:dyDescent="0.15">
      <c r="A270" s="118" t="s">
        <v>280</v>
      </c>
      <c r="B270" s="111">
        <v>174</v>
      </c>
      <c r="C270" s="111">
        <v>2606</v>
      </c>
      <c r="D270" s="112">
        <v>15</v>
      </c>
      <c r="E270" s="111">
        <v>421</v>
      </c>
      <c r="F270" s="111">
        <v>139</v>
      </c>
      <c r="G270" s="111">
        <v>41</v>
      </c>
      <c r="H270" s="111">
        <v>3005</v>
      </c>
      <c r="I270" s="117"/>
      <c r="J270" s="117"/>
      <c r="K270" s="117"/>
      <c r="L270" s="117"/>
    </row>
    <row r="271" spans="1:12" ht="10.25" customHeight="1" x14ac:dyDescent="0.15">
      <c r="A271" s="118" t="s">
        <v>281</v>
      </c>
      <c r="B271" s="111">
        <v>58</v>
      </c>
      <c r="C271" s="111">
        <v>2940</v>
      </c>
      <c r="D271" s="112">
        <v>50.7</v>
      </c>
      <c r="E271" s="111">
        <v>518</v>
      </c>
      <c r="F271" s="111">
        <v>171</v>
      </c>
      <c r="G271" s="111">
        <v>50</v>
      </c>
      <c r="H271" s="111">
        <v>3721</v>
      </c>
      <c r="I271" s="117"/>
      <c r="J271" s="117"/>
      <c r="K271" s="117"/>
      <c r="L271" s="117"/>
    </row>
    <row r="272" spans="1:12" ht="10.25" customHeight="1" x14ac:dyDescent="0.15">
      <c r="A272" s="118" t="s">
        <v>289</v>
      </c>
      <c r="B272" s="111">
        <v>742</v>
      </c>
      <c r="C272" s="111">
        <v>12558</v>
      </c>
      <c r="D272" s="112">
        <v>16.899999999999999</v>
      </c>
      <c r="E272" s="111">
        <v>1445</v>
      </c>
      <c r="F272" s="111">
        <v>479</v>
      </c>
      <c r="G272" s="111">
        <v>140</v>
      </c>
      <c r="H272" s="111">
        <v>11268</v>
      </c>
      <c r="I272" s="117"/>
      <c r="J272" s="117"/>
      <c r="K272" s="117"/>
      <c r="L272" s="117"/>
    </row>
    <row r="273" spans="1:12" ht="10.25" customHeight="1" x14ac:dyDescent="0.15">
      <c r="A273" s="118" t="s">
        <v>239</v>
      </c>
      <c r="B273" s="111">
        <v>33</v>
      </c>
      <c r="C273" s="111">
        <v>2853</v>
      </c>
      <c r="D273" s="112">
        <v>86.7</v>
      </c>
      <c r="E273" s="111">
        <v>580</v>
      </c>
      <c r="F273" s="111">
        <v>192</v>
      </c>
      <c r="G273" s="111">
        <v>56</v>
      </c>
      <c r="H273" s="111">
        <v>3667</v>
      </c>
      <c r="I273" s="117"/>
      <c r="J273" s="117"/>
      <c r="K273" s="117"/>
      <c r="L273" s="117"/>
    </row>
    <row r="274" spans="1:12" ht="10.25" customHeight="1" x14ac:dyDescent="0.15">
      <c r="A274" s="118" t="s">
        <v>290</v>
      </c>
      <c r="B274" s="111">
        <v>111</v>
      </c>
      <c r="C274" s="111">
        <v>11636</v>
      </c>
      <c r="D274" s="112">
        <v>105.1</v>
      </c>
      <c r="E274" s="111">
        <v>2524</v>
      </c>
      <c r="F274" s="111">
        <v>836</v>
      </c>
      <c r="G274" s="111">
        <v>245</v>
      </c>
      <c r="H274" s="111">
        <v>17065</v>
      </c>
      <c r="I274" s="117"/>
      <c r="J274" s="117"/>
      <c r="K274" s="117"/>
      <c r="L274" s="117"/>
    </row>
    <row r="275" spans="1:12" ht="10.25" customHeight="1" x14ac:dyDescent="0.15">
      <c r="A275" s="114" t="s">
        <v>291</v>
      </c>
      <c r="B275" s="111"/>
      <c r="C275" s="111"/>
      <c r="D275" s="112"/>
      <c r="E275" s="111"/>
      <c r="F275" s="111"/>
      <c r="G275" s="111"/>
      <c r="H275" s="111"/>
      <c r="I275" s="117"/>
      <c r="J275" s="117"/>
      <c r="K275" s="117"/>
      <c r="L275" s="117"/>
    </row>
    <row r="276" spans="1:12" ht="10.25" customHeight="1" x14ac:dyDescent="0.15">
      <c r="A276" s="118" t="s">
        <v>292</v>
      </c>
      <c r="B276" s="111">
        <v>1613</v>
      </c>
      <c r="C276" s="111">
        <v>29969</v>
      </c>
      <c r="D276" s="112">
        <v>18.600000000000001</v>
      </c>
      <c r="E276" s="111">
        <v>4765</v>
      </c>
      <c r="F276" s="111">
        <v>1578</v>
      </c>
      <c r="G276" s="111">
        <v>463</v>
      </c>
      <c r="H276" s="111">
        <v>36258</v>
      </c>
      <c r="I276" s="117"/>
      <c r="J276" s="117"/>
      <c r="K276" s="117"/>
      <c r="L276" s="117"/>
    </row>
    <row r="277" spans="1:12" ht="10.25" customHeight="1" x14ac:dyDescent="0.15">
      <c r="A277" s="118" t="s">
        <v>293</v>
      </c>
      <c r="B277" s="111">
        <v>122</v>
      </c>
      <c r="C277" s="111">
        <v>1561</v>
      </c>
      <c r="D277" s="112">
        <v>12.8</v>
      </c>
      <c r="E277" s="111">
        <v>227</v>
      </c>
      <c r="F277" s="111">
        <v>75</v>
      </c>
      <c r="G277" s="111">
        <v>22</v>
      </c>
      <c r="H277" s="111">
        <v>1808</v>
      </c>
      <c r="I277" s="117"/>
      <c r="J277" s="117"/>
      <c r="K277" s="117"/>
      <c r="L277" s="117"/>
    </row>
    <row r="278" spans="1:12" ht="10.25" customHeight="1" x14ac:dyDescent="0.15">
      <c r="A278" s="118" t="s">
        <v>116</v>
      </c>
      <c r="B278" s="111">
        <v>37</v>
      </c>
      <c r="C278" s="111">
        <v>1217</v>
      </c>
      <c r="D278" s="112">
        <v>32.5</v>
      </c>
      <c r="E278" s="111">
        <v>225</v>
      </c>
      <c r="F278" s="111">
        <v>75</v>
      </c>
      <c r="G278" s="111">
        <v>22</v>
      </c>
      <c r="H278" s="111">
        <v>1540</v>
      </c>
      <c r="I278" s="117"/>
      <c r="J278" s="117"/>
      <c r="K278" s="117"/>
      <c r="L278" s="117"/>
    </row>
    <row r="279" spans="1:12" ht="10.25" customHeight="1" x14ac:dyDescent="0.15">
      <c r="A279" s="114"/>
      <c r="B279" s="111"/>
      <c r="C279" s="111"/>
      <c r="D279" s="112"/>
      <c r="E279" s="111"/>
      <c r="F279" s="111"/>
      <c r="G279" s="111"/>
      <c r="H279" s="111"/>
      <c r="I279" s="117"/>
      <c r="J279" s="117"/>
      <c r="K279" s="117"/>
      <c r="L279" s="117"/>
    </row>
    <row r="280" spans="1:12" ht="10.25" customHeight="1" x14ac:dyDescent="0.15">
      <c r="A280" s="115" t="s">
        <v>294</v>
      </c>
      <c r="B280" s="111"/>
      <c r="C280" s="111"/>
      <c r="D280" s="112"/>
      <c r="E280" s="111"/>
      <c r="F280" s="111"/>
      <c r="G280" s="111"/>
      <c r="H280" s="111"/>
      <c r="I280" s="117"/>
      <c r="J280" s="117"/>
      <c r="K280" s="117"/>
      <c r="L280" s="117"/>
    </row>
    <row r="281" spans="1:12" ht="10.25" customHeight="1" x14ac:dyDescent="0.15">
      <c r="A281" s="115" t="s">
        <v>295</v>
      </c>
      <c r="B281" s="111"/>
      <c r="C281" s="111"/>
      <c r="D281" s="112"/>
      <c r="E281" s="111"/>
      <c r="F281" s="111"/>
      <c r="G281" s="111"/>
      <c r="H281" s="111"/>
      <c r="I281" s="117"/>
      <c r="J281" s="117"/>
      <c r="K281" s="117"/>
      <c r="L281" s="117"/>
    </row>
    <row r="282" spans="1:12" ht="10.25" customHeight="1" x14ac:dyDescent="0.15">
      <c r="A282" s="118" t="s">
        <v>296</v>
      </c>
      <c r="B282" s="111">
        <v>1193</v>
      </c>
      <c r="C282" s="111">
        <v>16394</v>
      </c>
      <c r="D282" s="112">
        <v>13.7</v>
      </c>
      <c r="E282" s="111">
        <v>2161</v>
      </c>
      <c r="F282" s="111">
        <v>716</v>
      </c>
      <c r="G282" s="111">
        <v>210</v>
      </c>
      <c r="H282" s="111">
        <v>16626</v>
      </c>
      <c r="I282" s="117"/>
      <c r="J282" s="117"/>
      <c r="K282" s="117"/>
      <c r="L282" s="117"/>
    </row>
    <row r="283" spans="1:12" ht="10.25" customHeight="1" x14ac:dyDescent="0.15">
      <c r="A283" s="118" t="s">
        <v>297</v>
      </c>
      <c r="B283" s="111">
        <v>1356</v>
      </c>
      <c r="C283" s="111">
        <v>20995</v>
      </c>
      <c r="D283" s="112">
        <v>15.5</v>
      </c>
      <c r="E283" s="111">
        <v>2947</v>
      </c>
      <c r="F283" s="111">
        <v>976</v>
      </c>
      <c r="G283" s="111">
        <v>286</v>
      </c>
      <c r="H283" s="111">
        <v>22737</v>
      </c>
      <c r="I283" s="117"/>
      <c r="J283" s="117"/>
      <c r="K283" s="117"/>
      <c r="L283" s="117"/>
    </row>
    <row r="284" spans="1:12" ht="10.25" customHeight="1" x14ac:dyDescent="0.15">
      <c r="A284" s="114"/>
      <c r="B284" s="111"/>
      <c r="C284" s="111"/>
      <c r="D284" s="112"/>
      <c r="E284" s="111"/>
      <c r="F284" s="111"/>
      <c r="G284" s="111"/>
      <c r="H284" s="111"/>
      <c r="I284" s="117"/>
      <c r="J284" s="117"/>
      <c r="K284" s="117"/>
      <c r="L284" s="117"/>
    </row>
    <row r="285" spans="1:12" ht="10.25" customHeight="1" x14ac:dyDescent="0.15">
      <c r="A285" s="115" t="s">
        <v>298</v>
      </c>
      <c r="B285" s="111"/>
      <c r="C285" s="111"/>
      <c r="D285" s="112"/>
      <c r="E285" s="111"/>
      <c r="F285" s="111"/>
      <c r="G285" s="111"/>
      <c r="H285" s="111"/>
      <c r="I285" s="117"/>
      <c r="J285" s="117"/>
      <c r="K285" s="117"/>
      <c r="L285" s="117"/>
    </row>
    <row r="286" spans="1:12" ht="10.25" customHeight="1" x14ac:dyDescent="0.15">
      <c r="A286" s="118" t="s">
        <v>299</v>
      </c>
      <c r="B286" s="111">
        <v>2511</v>
      </c>
      <c r="C286" s="111">
        <v>34656</v>
      </c>
      <c r="D286" s="112">
        <v>13.8</v>
      </c>
      <c r="E286" s="111">
        <v>5310</v>
      </c>
      <c r="F286" s="111">
        <v>1759</v>
      </c>
      <c r="G286" s="111">
        <v>515</v>
      </c>
      <c r="H286" s="111">
        <v>40871</v>
      </c>
      <c r="I286" s="117"/>
      <c r="J286" s="117"/>
      <c r="K286" s="117"/>
      <c r="L286" s="117"/>
    </row>
    <row r="287" spans="1:12" ht="10.25" customHeight="1" x14ac:dyDescent="0.15">
      <c r="A287" s="118" t="s">
        <v>300</v>
      </c>
      <c r="B287" s="111">
        <v>785</v>
      </c>
      <c r="C287" s="111">
        <v>11540</v>
      </c>
      <c r="D287" s="112">
        <v>14.7</v>
      </c>
      <c r="E287" s="111">
        <v>1458</v>
      </c>
      <c r="F287" s="111">
        <v>483</v>
      </c>
      <c r="G287" s="111">
        <v>142</v>
      </c>
      <c r="H287" s="111">
        <v>11253</v>
      </c>
      <c r="I287" s="117"/>
      <c r="J287" s="117"/>
      <c r="K287" s="117"/>
      <c r="L287" s="117"/>
    </row>
    <row r="288" spans="1:12" ht="10.25" customHeight="1" x14ac:dyDescent="0.15">
      <c r="A288" s="114" t="s">
        <v>301</v>
      </c>
      <c r="B288" s="111"/>
      <c r="C288" s="111"/>
      <c r="D288" s="112"/>
      <c r="E288" s="111"/>
      <c r="F288" s="111"/>
      <c r="G288" s="111"/>
      <c r="H288" s="111"/>
      <c r="I288" s="117"/>
      <c r="J288" s="117"/>
      <c r="K288" s="117"/>
      <c r="L288" s="117"/>
    </row>
    <row r="289" spans="1:12" ht="10.25" customHeight="1" x14ac:dyDescent="0.15">
      <c r="A289" s="118" t="s">
        <v>302</v>
      </c>
      <c r="B289" s="111">
        <v>175</v>
      </c>
      <c r="C289" s="111">
        <v>10267</v>
      </c>
      <c r="D289" s="112">
        <v>58.8</v>
      </c>
      <c r="E289" s="111">
        <v>1964</v>
      </c>
      <c r="F289" s="111">
        <v>651</v>
      </c>
      <c r="G289" s="111">
        <v>191</v>
      </c>
      <c r="H289" s="111">
        <v>13401</v>
      </c>
      <c r="I289" s="117"/>
      <c r="J289" s="117"/>
      <c r="K289" s="117"/>
      <c r="L289" s="117"/>
    </row>
    <row r="290" spans="1:12" ht="10.25" customHeight="1" x14ac:dyDescent="0.15">
      <c r="A290" s="114"/>
      <c r="B290" s="111"/>
      <c r="C290" s="111"/>
      <c r="D290" s="112"/>
      <c r="E290" s="111"/>
      <c r="F290" s="111"/>
      <c r="G290" s="111"/>
      <c r="H290" s="111"/>
      <c r="I290" s="117"/>
      <c r="J290" s="117"/>
      <c r="K290" s="117"/>
      <c r="L290" s="117"/>
    </row>
    <row r="291" spans="1:12" ht="10.25" customHeight="1" x14ac:dyDescent="0.15">
      <c r="A291" s="115" t="s">
        <v>303</v>
      </c>
      <c r="B291" s="111"/>
      <c r="C291" s="111"/>
      <c r="D291" s="112"/>
      <c r="E291" s="111"/>
      <c r="F291" s="111"/>
      <c r="G291" s="111"/>
      <c r="H291" s="111"/>
      <c r="I291" s="117"/>
      <c r="J291" s="117"/>
      <c r="K291" s="117"/>
      <c r="L291" s="117"/>
    </row>
    <row r="292" spans="1:12" ht="10.25" customHeight="1" x14ac:dyDescent="0.15">
      <c r="A292" s="115" t="s">
        <v>155</v>
      </c>
      <c r="B292" s="111"/>
      <c r="C292" s="111"/>
      <c r="D292" s="112"/>
      <c r="E292" s="111"/>
      <c r="F292" s="111"/>
      <c r="G292" s="111"/>
      <c r="H292" s="111"/>
      <c r="I292" s="117"/>
      <c r="J292" s="117"/>
      <c r="K292" s="117"/>
      <c r="L292" s="117"/>
    </row>
    <row r="293" spans="1:12" ht="10.25" customHeight="1" x14ac:dyDescent="0.15">
      <c r="A293" s="118" t="s">
        <v>304</v>
      </c>
      <c r="B293" s="111">
        <v>2184</v>
      </c>
      <c r="C293" s="111">
        <v>38528</v>
      </c>
      <c r="D293" s="112">
        <v>17.600000000000001</v>
      </c>
      <c r="E293" s="111">
        <v>6057</v>
      </c>
      <c r="F293" s="111">
        <v>2006</v>
      </c>
      <c r="G293" s="111">
        <v>588</v>
      </c>
      <c r="H293" s="111">
        <v>44422</v>
      </c>
      <c r="I293" s="117"/>
      <c r="J293" s="117"/>
      <c r="K293" s="117"/>
      <c r="L293" s="117"/>
    </row>
    <row r="294" spans="1:12" ht="10.25" customHeight="1" x14ac:dyDescent="0.15">
      <c r="A294" s="118" t="s">
        <v>305</v>
      </c>
      <c r="B294" s="111">
        <v>3943</v>
      </c>
      <c r="C294" s="111">
        <v>59688</v>
      </c>
      <c r="D294" s="112">
        <v>15.1</v>
      </c>
      <c r="E294" s="111">
        <v>8909</v>
      </c>
      <c r="F294" s="111">
        <v>2951</v>
      </c>
      <c r="G294" s="111">
        <v>865</v>
      </c>
      <c r="H294" s="111">
        <v>66864</v>
      </c>
      <c r="I294" s="117"/>
      <c r="J294" s="117"/>
      <c r="K294" s="117"/>
      <c r="L294" s="117"/>
    </row>
    <row r="295" spans="1:12" ht="10.25" customHeight="1" x14ac:dyDescent="0.15">
      <c r="A295" s="118" t="s">
        <v>306</v>
      </c>
      <c r="B295" s="111">
        <v>941</v>
      </c>
      <c r="C295" s="111">
        <v>27571</v>
      </c>
      <c r="D295" s="112">
        <v>29.3</v>
      </c>
      <c r="E295" s="111">
        <v>5027</v>
      </c>
      <c r="F295" s="111">
        <v>1665</v>
      </c>
      <c r="G295" s="111">
        <v>488</v>
      </c>
      <c r="H295" s="111">
        <v>36584</v>
      </c>
      <c r="I295" s="117"/>
      <c r="J295" s="117"/>
      <c r="K295" s="117"/>
      <c r="L295" s="117"/>
    </row>
    <row r="296" spans="1:12" ht="10.25" customHeight="1" x14ac:dyDescent="0.15">
      <c r="A296" s="118" t="s">
        <v>307</v>
      </c>
      <c r="B296" s="111">
        <v>455</v>
      </c>
      <c r="C296" s="111">
        <v>20643</v>
      </c>
      <c r="D296" s="112">
        <v>45.4</v>
      </c>
      <c r="E296" s="111">
        <v>3400</v>
      </c>
      <c r="F296" s="111">
        <v>1126</v>
      </c>
      <c r="G296" s="111">
        <v>330</v>
      </c>
      <c r="H296" s="111">
        <v>23651</v>
      </c>
      <c r="I296" s="117"/>
      <c r="J296" s="117"/>
      <c r="K296" s="117"/>
      <c r="L296" s="117"/>
    </row>
    <row r="297" spans="1:12" ht="10.25" customHeight="1" x14ac:dyDescent="0.15">
      <c r="A297" s="118" t="s">
        <v>308</v>
      </c>
      <c r="B297" s="111">
        <v>565</v>
      </c>
      <c r="C297" s="111">
        <v>17703</v>
      </c>
      <c r="D297" s="112">
        <v>31.3</v>
      </c>
      <c r="E297" s="111">
        <v>3226</v>
      </c>
      <c r="F297" s="111">
        <v>1069</v>
      </c>
      <c r="G297" s="111">
        <v>313</v>
      </c>
      <c r="H297" s="111">
        <v>23011</v>
      </c>
      <c r="I297" s="117"/>
      <c r="J297" s="117"/>
      <c r="K297" s="117"/>
      <c r="L297" s="117"/>
    </row>
    <row r="298" spans="1:12" ht="10.25" customHeight="1" x14ac:dyDescent="0.15">
      <c r="A298" s="118" t="s">
        <v>116</v>
      </c>
      <c r="B298" s="111" t="s">
        <v>182</v>
      </c>
      <c r="C298" s="111" t="s">
        <v>182</v>
      </c>
      <c r="D298" s="112" t="s">
        <v>182</v>
      </c>
      <c r="E298" s="111" t="s">
        <v>182</v>
      </c>
      <c r="F298" s="111" t="s">
        <v>182</v>
      </c>
      <c r="G298" s="111" t="s">
        <v>182</v>
      </c>
      <c r="H298" s="111" t="s">
        <v>182</v>
      </c>
      <c r="I298" s="117"/>
      <c r="J298" s="117"/>
      <c r="K298" s="117"/>
      <c r="L298" s="117"/>
    </row>
    <row r="299" spans="1:12" ht="10.25" customHeight="1" x14ac:dyDescent="0.15">
      <c r="A299" s="114"/>
      <c r="B299" s="111"/>
      <c r="C299" s="111"/>
      <c r="D299" s="112"/>
      <c r="E299" s="111"/>
      <c r="F299" s="111"/>
      <c r="G299" s="111"/>
      <c r="H299" s="111"/>
      <c r="I299" s="117"/>
      <c r="J299" s="117"/>
      <c r="K299" s="117"/>
      <c r="L299" s="117"/>
    </row>
    <row r="300" spans="1:12" ht="10.25" customHeight="1" x14ac:dyDescent="0.15">
      <c r="A300" s="115" t="s">
        <v>309</v>
      </c>
      <c r="B300" s="111"/>
      <c r="C300" s="111"/>
      <c r="D300" s="112"/>
      <c r="E300" s="111"/>
      <c r="F300" s="111"/>
      <c r="G300" s="111"/>
      <c r="H300" s="111"/>
      <c r="I300" s="117"/>
      <c r="J300" s="117"/>
      <c r="K300" s="117"/>
      <c r="L300" s="117"/>
    </row>
    <row r="301" spans="1:12" ht="10.25" customHeight="1" x14ac:dyDescent="0.15">
      <c r="A301" s="115" t="s">
        <v>310</v>
      </c>
      <c r="B301" s="111"/>
      <c r="C301" s="111"/>
      <c r="D301" s="112"/>
      <c r="E301" s="111"/>
      <c r="F301" s="111"/>
      <c r="G301" s="111"/>
      <c r="H301" s="111"/>
      <c r="I301" s="117"/>
      <c r="J301" s="117"/>
      <c r="K301" s="117"/>
      <c r="L301" s="117"/>
    </row>
    <row r="302" spans="1:12" ht="10.25" customHeight="1" x14ac:dyDescent="0.15">
      <c r="A302" s="118" t="s">
        <v>311</v>
      </c>
      <c r="B302" s="111">
        <v>3176</v>
      </c>
      <c r="C302" s="111">
        <v>52974</v>
      </c>
      <c r="D302" s="112">
        <v>16.7</v>
      </c>
      <c r="E302" s="111">
        <v>8366</v>
      </c>
      <c r="F302" s="111">
        <v>2771</v>
      </c>
      <c r="G302" s="111">
        <v>812</v>
      </c>
      <c r="H302" s="111">
        <v>62357</v>
      </c>
      <c r="I302" s="117"/>
      <c r="J302" s="117"/>
      <c r="K302" s="117"/>
      <c r="L302" s="117"/>
    </row>
    <row r="303" spans="1:12" ht="10.25" customHeight="1" x14ac:dyDescent="0.15">
      <c r="A303" s="118" t="s">
        <v>312</v>
      </c>
      <c r="B303" s="111">
        <v>1007</v>
      </c>
      <c r="C303" s="111">
        <v>26768</v>
      </c>
      <c r="D303" s="112">
        <v>26.6</v>
      </c>
      <c r="E303" s="111">
        <v>5397</v>
      </c>
      <c r="F303" s="111">
        <v>1788</v>
      </c>
      <c r="G303" s="111">
        <v>524</v>
      </c>
      <c r="H303" s="111">
        <v>38581</v>
      </c>
      <c r="I303" s="117"/>
      <c r="J303" s="117"/>
      <c r="K303" s="117"/>
      <c r="L303" s="117"/>
    </row>
    <row r="304" spans="1:12" ht="10.25" customHeight="1" x14ac:dyDescent="0.15">
      <c r="A304" s="118" t="s">
        <v>313</v>
      </c>
      <c r="B304" s="111">
        <v>666</v>
      </c>
      <c r="C304" s="111">
        <v>20254</v>
      </c>
      <c r="D304" s="112">
        <v>30.4</v>
      </c>
      <c r="E304" s="111">
        <v>4496</v>
      </c>
      <c r="F304" s="111">
        <v>1489</v>
      </c>
      <c r="G304" s="111">
        <v>436</v>
      </c>
      <c r="H304" s="111">
        <v>31769</v>
      </c>
      <c r="I304" s="117"/>
      <c r="J304" s="117"/>
      <c r="K304" s="117"/>
      <c r="L304" s="117"/>
    </row>
    <row r="305" spans="1:12" ht="11.25" customHeight="1" x14ac:dyDescent="0.15">
      <c r="A305" s="118" t="s">
        <v>314</v>
      </c>
      <c r="B305" s="111">
        <v>825</v>
      </c>
      <c r="C305" s="111">
        <v>20424</v>
      </c>
      <c r="D305" s="112">
        <v>24.8</v>
      </c>
      <c r="E305" s="111">
        <v>4349</v>
      </c>
      <c r="F305" s="111">
        <v>1441</v>
      </c>
      <c r="G305" s="111">
        <v>422</v>
      </c>
      <c r="H305" s="111">
        <v>31335</v>
      </c>
      <c r="I305" s="117"/>
      <c r="J305" s="117"/>
      <c r="K305" s="117"/>
      <c r="L305" s="117"/>
    </row>
    <row r="306" spans="1:12" ht="10.25" customHeight="1" x14ac:dyDescent="0.15">
      <c r="A306" s="118" t="s">
        <v>315</v>
      </c>
      <c r="B306" s="111">
        <v>2370</v>
      </c>
      <c r="C306" s="111">
        <v>38884</v>
      </c>
      <c r="D306" s="112">
        <v>16.399999999999999</v>
      </c>
      <c r="E306" s="111">
        <v>5342</v>
      </c>
      <c r="F306" s="111">
        <v>1769</v>
      </c>
      <c r="G306" s="111">
        <v>519</v>
      </c>
      <c r="H306" s="111">
        <v>39936</v>
      </c>
      <c r="I306" s="117"/>
      <c r="J306" s="117"/>
      <c r="K306" s="117"/>
      <c r="L306" s="117"/>
    </row>
    <row r="307" spans="1:12" ht="10.25" customHeight="1" x14ac:dyDescent="0.15">
      <c r="A307" s="118" t="s">
        <v>316</v>
      </c>
      <c r="B307" s="111">
        <v>996</v>
      </c>
      <c r="C307" s="111">
        <v>35335</v>
      </c>
      <c r="D307" s="112">
        <v>35.5</v>
      </c>
      <c r="E307" s="111">
        <v>5992</v>
      </c>
      <c r="F307" s="111">
        <v>1985</v>
      </c>
      <c r="G307" s="111">
        <v>582</v>
      </c>
      <c r="H307" s="111">
        <v>42043</v>
      </c>
      <c r="I307" s="117"/>
      <c r="J307" s="117"/>
      <c r="K307" s="117"/>
      <c r="L307" s="117"/>
    </row>
    <row r="308" spans="1:12" ht="10.25" customHeight="1" x14ac:dyDescent="0.15">
      <c r="A308" s="118" t="s">
        <v>317</v>
      </c>
      <c r="B308" s="111">
        <v>1227</v>
      </c>
      <c r="C308" s="111">
        <v>10333</v>
      </c>
      <c r="D308" s="112">
        <v>8.4</v>
      </c>
      <c r="E308" s="111">
        <v>802</v>
      </c>
      <c r="F308" s="111">
        <v>266</v>
      </c>
      <c r="G308" s="111">
        <v>78</v>
      </c>
      <c r="H308" s="111">
        <v>6675</v>
      </c>
      <c r="I308" s="117"/>
      <c r="J308" s="117"/>
      <c r="K308" s="117"/>
      <c r="L308" s="117"/>
    </row>
    <row r="309" spans="1:12" ht="10.25" customHeight="1" x14ac:dyDescent="0.15">
      <c r="A309" s="114"/>
      <c r="B309" s="111"/>
      <c r="C309" s="111"/>
      <c r="D309" s="112"/>
      <c r="E309" s="111"/>
      <c r="F309" s="111"/>
      <c r="G309" s="111"/>
      <c r="H309" s="111"/>
      <c r="I309" s="117"/>
      <c r="J309" s="117"/>
      <c r="K309" s="117"/>
      <c r="L309" s="117"/>
    </row>
    <row r="310" spans="1:12" ht="10.25" customHeight="1" x14ac:dyDescent="0.15">
      <c r="A310" s="115" t="s">
        <v>318</v>
      </c>
      <c r="B310" s="111"/>
      <c r="C310" s="111"/>
      <c r="D310" s="112"/>
      <c r="E310" s="111"/>
      <c r="F310" s="111"/>
      <c r="G310" s="111"/>
      <c r="H310" s="111"/>
      <c r="I310" s="117"/>
      <c r="J310" s="117"/>
      <c r="K310" s="117"/>
      <c r="L310" s="117"/>
    </row>
    <row r="311" spans="1:12" ht="10.25" customHeight="1" x14ac:dyDescent="0.15">
      <c r="A311" s="115" t="s">
        <v>277</v>
      </c>
      <c r="B311" s="111"/>
      <c r="C311" s="111"/>
      <c r="D311" s="112"/>
      <c r="E311" s="111"/>
      <c r="F311" s="111"/>
      <c r="G311" s="111"/>
      <c r="H311" s="111"/>
      <c r="I311" s="117"/>
      <c r="J311" s="117"/>
      <c r="K311" s="117"/>
      <c r="L311" s="117"/>
    </row>
    <row r="312" spans="1:12" ht="10.25" customHeight="1" x14ac:dyDescent="0.15">
      <c r="A312" s="118" t="s">
        <v>319</v>
      </c>
      <c r="B312" s="111">
        <v>3081</v>
      </c>
      <c r="C312" s="111">
        <v>55627</v>
      </c>
      <c r="D312" s="112">
        <v>18.100000000000001</v>
      </c>
      <c r="E312" s="111">
        <v>8567</v>
      </c>
      <c r="F312" s="111">
        <v>2838</v>
      </c>
      <c r="G312" s="111">
        <v>832</v>
      </c>
      <c r="H312" s="111">
        <v>64010</v>
      </c>
      <c r="I312" s="117"/>
      <c r="J312" s="117"/>
      <c r="K312" s="117"/>
      <c r="L312" s="117"/>
    </row>
    <row r="313" spans="1:12" ht="10.25" customHeight="1" x14ac:dyDescent="0.15">
      <c r="A313" s="118" t="s">
        <v>320</v>
      </c>
      <c r="B313" s="111">
        <v>877</v>
      </c>
      <c r="C313" s="111">
        <v>26417</v>
      </c>
      <c r="D313" s="112">
        <v>30.1</v>
      </c>
      <c r="E313" s="111">
        <v>4797</v>
      </c>
      <c r="F313" s="111">
        <v>1589</v>
      </c>
      <c r="G313" s="111">
        <v>466</v>
      </c>
      <c r="H313" s="111">
        <v>34985</v>
      </c>
      <c r="I313" s="117"/>
      <c r="J313" s="117"/>
      <c r="K313" s="117"/>
      <c r="L313" s="117"/>
    </row>
    <row r="314" spans="1:12" ht="10.25" customHeight="1" x14ac:dyDescent="0.15">
      <c r="A314" s="118" t="s">
        <v>321</v>
      </c>
      <c r="B314" s="111">
        <v>1175</v>
      </c>
      <c r="C314" s="111">
        <v>36338</v>
      </c>
      <c r="D314" s="112">
        <v>30.9</v>
      </c>
      <c r="E314" s="111">
        <v>6143</v>
      </c>
      <c r="F314" s="111">
        <v>2035</v>
      </c>
      <c r="G314" s="111">
        <v>596</v>
      </c>
      <c r="H314" s="111">
        <v>44941</v>
      </c>
      <c r="I314" s="117"/>
      <c r="J314" s="117"/>
      <c r="K314" s="117"/>
      <c r="L314" s="117"/>
    </row>
    <row r="315" spans="1:12" ht="10.25" customHeight="1" x14ac:dyDescent="0.15">
      <c r="A315" s="118" t="s">
        <v>322</v>
      </c>
      <c r="B315" s="111">
        <v>1970</v>
      </c>
      <c r="C315" s="111">
        <v>33012</v>
      </c>
      <c r="D315" s="112">
        <v>16.8</v>
      </c>
      <c r="E315" s="111">
        <v>4679</v>
      </c>
      <c r="F315" s="111">
        <v>1550</v>
      </c>
      <c r="G315" s="111">
        <v>454</v>
      </c>
      <c r="H315" s="111">
        <v>36031</v>
      </c>
      <c r="I315" s="117"/>
      <c r="J315" s="117"/>
      <c r="K315" s="117"/>
      <c r="L315" s="117"/>
    </row>
    <row r="316" spans="1:12" ht="10.25" customHeight="1" x14ac:dyDescent="0.15">
      <c r="A316" s="118" t="s">
        <v>323</v>
      </c>
      <c r="B316" s="111">
        <v>1420</v>
      </c>
      <c r="C316" s="111">
        <v>32210</v>
      </c>
      <c r="D316" s="112">
        <v>22.7</v>
      </c>
      <c r="E316" s="111">
        <v>5495</v>
      </c>
      <c r="F316" s="111">
        <v>1820</v>
      </c>
      <c r="G316" s="111">
        <v>533</v>
      </c>
      <c r="H316" s="111">
        <v>39920</v>
      </c>
      <c r="I316" s="117"/>
      <c r="J316" s="117"/>
      <c r="K316" s="117"/>
      <c r="L316" s="117"/>
    </row>
    <row r="317" spans="1:12" ht="10.25" customHeight="1" x14ac:dyDescent="0.15">
      <c r="A317" s="118" t="s">
        <v>324</v>
      </c>
      <c r="B317" s="111">
        <v>2715</v>
      </c>
      <c r="C317" s="111">
        <v>52373</v>
      </c>
      <c r="D317" s="112">
        <v>19.3</v>
      </c>
      <c r="E317" s="111">
        <v>8154</v>
      </c>
      <c r="F317" s="111">
        <v>2701</v>
      </c>
      <c r="G317" s="111">
        <v>792</v>
      </c>
      <c r="H317" s="111">
        <v>60928</v>
      </c>
      <c r="I317" s="117"/>
      <c r="J317" s="117"/>
      <c r="K317" s="117"/>
      <c r="L317" s="117"/>
    </row>
    <row r="318" spans="1:12" ht="10.25" customHeight="1" x14ac:dyDescent="0.15">
      <c r="A318" s="118" t="s">
        <v>325</v>
      </c>
      <c r="B318" s="111">
        <v>1939</v>
      </c>
      <c r="C318" s="111">
        <v>46257</v>
      </c>
      <c r="D318" s="112">
        <v>23.9</v>
      </c>
      <c r="E318" s="111">
        <v>7128</v>
      </c>
      <c r="F318" s="111">
        <v>2361</v>
      </c>
      <c r="G318" s="111">
        <v>692</v>
      </c>
      <c r="H318" s="111">
        <v>52409</v>
      </c>
      <c r="I318" s="117"/>
      <c r="J318" s="117"/>
      <c r="K318" s="117"/>
      <c r="L318" s="117"/>
    </row>
    <row r="319" spans="1:12" ht="10.25" customHeight="1" x14ac:dyDescent="0.15">
      <c r="A319" s="114"/>
      <c r="B319" s="111"/>
      <c r="C319" s="111"/>
      <c r="D319" s="112"/>
      <c r="E319" s="111"/>
      <c r="F319" s="111"/>
      <c r="G319" s="111"/>
      <c r="H319" s="111"/>
      <c r="I319" s="117"/>
      <c r="J319" s="117"/>
      <c r="K319" s="117"/>
      <c r="L319" s="117"/>
    </row>
    <row r="320" spans="1:12" ht="10.25" customHeight="1" x14ac:dyDescent="0.15">
      <c r="A320" s="115" t="s">
        <v>326</v>
      </c>
      <c r="B320" s="111"/>
      <c r="C320" s="111"/>
      <c r="D320" s="112"/>
      <c r="E320" s="111"/>
      <c r="F320" s="111"/>
      <c r="G320" s="111"/>
      <c r="H320" s="111"/>
      <c r="I320" s="117"/>
      <c r="J320" s="117"/>
      <c r="K320" s="117"/>
      <c r="L320" s="117"/>
    </row>
    <row r="321" spans="1:12" ht="10.25" customHeight="1" x14ac:dyDescent="0.15">
      <c r="A321" s="118" t="s">
        <v>327</v>
      </c>
      <c r="B321" s="111">
        <v>1323</v>
      </c>
      <c r="C321" s="111">
        <v>7679</v>
      </c>
      <c r="D321" s="112">
        <v>5.8</v>
      </c>
      <c r="E321" s="111">
        <v>601</v>
      </c>
      <c r="F321" s="111">
        <v>199</v>
      </c>
      <c r="G321" s="111">
        <v>58</v>
      </c>
      <c r="H321" s="111">
        <v>5021</v>
      </c>
      <c r="I321" s="117"/>
      <c r="J321" s="117"/>
      <c r="K321" s="117"/>
      <c r="L321" s="117"/>
    </row>
    <row r="322" spans="1:12" ht="10.25" customHeight="1" x14ac:dyDescent="0.15">
      <c r="A322" s="118" t="s">
        <v>328</v>
      </c>
      <c r="B322" s="111">
        <v>1670</v>
      </c>
      <c r="C322" s="111">
        <v>12395</v>
      </c>
      <c r="D322" s="112">
        <v>7.4</v>
      </c>
      <c r="E322" s="111">
        <v>1578</v>
      </c>
      <c r="F322" s="111">
        <v>523</v>
      </c>
      <c r="G322" s="111">
        <v>153</v>
      </c>
      <c r="H322" s="111">
        <v>12918</v>
      </c>
      <c r="I322" s="117"/>
      <c r="J322" s="117"/>
      <c r="K322" s="117"/>
      <c r="L322" s="117"/>
    </row>
    <row r="323" spans="1:12" ht="10.25" customHeight="1" x14ac:dyDescent="0.15">
      <c r="A323" s="118" t="s">
        <v>164</v>
      </c>
      <c r="B323" s="111">
        <v>559</v>
      </c>
      <c r="C323" s="111">
        <v>7179</v>
      </c>
      <c r="D323" s="112">
        <v>12.8</v>
      </c>
      <c r="E323" s="111">
        <v>826</v>
      </c>
      <c r="F323" s="111">
        <v>274</v>
      </c>
      <c r="G323" s="111">
        <v>80</v>
      </c>
      <c r="H323" s="111">
        <v>6606</v>
      </c>
      <c r="I323" s="117"/>
      <c r="J323" s="117"/>
      <c r="K323" s="117"/>
      <c r="L323" s="117"/>
    </row>
    <row r="324" spans="1:12" ht="10.25" customHeight="1" x14ac:dyDescent="0.15">
      <c r="A324" s="118" t="s">
        <v>165</v>
      </c>
      <c r="B324" s="111">
        <v>370</v>
      </c>
      <c r="C324" s="111">
        <v>6610</v>
      </c>
      <c r="D324" s="112">
        <v>17.899999999999999</v>
      </c>
      <c r="E324" s="111">
        <v>859</v>
      </c>
      <c r="F324" s="111">
        <v>285</v>
      </c>
      <c r="G324" s="111">
        <v>83</v>
      </c>
      <c r="H324" s="111">
        <v>6741</v>
      </c>
      <c r="I324" s="117"/>
      <c r="J324" s="117"/>
      <c r="K324" s="117"/>
      <c r="L324" s="117"/>
    </row>
    <row r="325" spans="1:12" ht="10.25" customHeight="1" x14ac:dyDescent="0.15">
      <c r="A325" s="118" t="s">
        <v>166</v>
      </c>
      <c r="B325" s="111">
        <v>255</v>
      </c>
      <c r="C325" s="111">
        <v>7414</v>
      </c>
      <c r="D325" s="112">
        <v>29.1</v>
      </c>
      <c r="E325" s="111">
        <v>1233</v>
      </c>
      <c r="F325" s="111">
        <v>408</v>
      </c>
      <c r="G325" s="111">
        <v>120</v>
      </c>
      <c r="H325" s="111">
        <v>9322</v>
      </c>
      <c r="I325" s="117"/>
      <c r="J325" s="117"/>
      <c r="K325" s="117"/>
      <c r="L325" s="117"/>
    </row>
    <row r="326" spans="1:12" ht="10.25" customHeight="1" x14ac:dyDescent="0.15">
      <c r="A326" s="118" t="s">
        <v>167</v>
      </c>
      <c r="B326" s="111">
        <v>110</v>
      </c>
      <c r="C326" s="111">
        <v>5376</v>
      </c>
      <c r="D326" s="112">
        <v>48.9</v>
      </c>
      <c r="E326" s="111">
        <v>781</v>
      </c>
      <c r="F326" s="111">
        <v>259</v>
      </c>
      <c r="G326" s="111">
        <v>76</v>
      </c>
      <c r="H326" s="111">
        <v>5664</v>
      </c>
      <c r="I326" s="117"/>
      <c r="J326" s="117"/>
      <c r="K326" s="117"/>
      <c r="L326" s="117"/>
    </row>
    <row r="327" spans="1:12" ht="10.25" customHeight="1" x14ac:dyDescent="0.15">
      <c r="A327" s="118" t="s">
        <v>168</v>
      </c>
      <c r="B327" s="111">
        <v>79</v>
      </c>
      <c r="C327" s="111">
        <v>6690</v>
      </c>
      <c r="D327" s="112">
        <v>84.3</v>
      </c>
      <c r="E327" s="111">
        <v>1111</v>
      </c>
      <c r="F327" s="111">
        <v>368</v>
      </c>
      <c r="G327" s="111">
        <v>108</v>
      </c>
      <c r="H327" s="111">
        <v>7675</v>
      </c>
      <c r="I327" s="117"/>
      <c r="J327" s="117"/>
      <c r="K327" s="117"/>
      <c r="L327" s="117"/>
    </row>
    <row r="328" spans="1:12" ht="10.25" customHeight="1" x14ac:dyDescent="0.15">
      <c r="A328" s="118" t="s">
        <v>169</v>
      </c>
      <c r="B328" s="111">
        <v>38</v>
      </c>
      <c r="C328" s="111">
        <v>9963</v>
      </c>
      <c r="D328" s="112">
        <v>264.3</v>
      </c>
      <c r="E328" s="111">
        <v>2179</v>
      </c>
      <c r="F328" s="111">
        <v>722</v>
      </c>
      <c r="G328" s="111">
        <v>212</v>
      </c>
      <c r="H328" s="111">
        <v>15085</v>
      </c>
      <c r="I328" s="117"/>
      <c r="J328" s="117"/>
      <c r="K328" s="117"/>
      <c r="L328" s="117"/>
    </row>
    <row r="329" spans="1:12" ht="10.25" customHeight="1" x14ac:dyDescent="0.15">
      <c r="A329" s="114"/>
      <c r="B329" s="111"/>
      <c r="C329" s="111"/>
      <c r="D329" s="112"/>
      <c r="E329" s="111"/>
      <c r="F329" s="111"/>
      <c r="G329" s="111"/>
      <c r="H329" s="111"/>
      <c r="I329" s="117"/>
      <c r="J329" s="117"/>
      <c r="K329" s="117"/>
      <c r="L329" s="117"/>
    </row>
    <row r="330" spans="1:12" ht="10.25" customHeight="1" x14ac:dyDescent="0.15">
      <c r="A330" s="115" t="s">
        <v>329</v>
      </c>
      <c r="B330" s="111"/>
      <c r="C330" s="111"/>
      <c r="D330" s="112"/>
      <c r="E330" s="111"/>
      <c r="F330" s="111"/>
      <c r="G330" s="111"/>
      <c r="H330" s="111"/>
      <c r="I330" s="117"/>
      <c r="J330" s="117"/>
      <c r="K330" s="117"/>
      <c r="L330" s="117"/>
    </row>
    <row r="331" spans="1:12" ht="10.25" customHeight="1" x14ac:dyDescent="0.15">
      <c r="A331" s="118" t="s">
        <v>327</v>
      </c>
      <c r="B331" s="111">
        <v>3229</v>
      </c>
      <c r="C331" s="111">
        <v>26969</v>
      </c>
      <c r="D331" s="112">
        <v>8.4</v>
      </c>
      <c r="E331" s="111">
        <v>3025</v>
      </c>
      <c r="F331" s="111">
        <v>1002</v>
      </c>
      <c r="G331" s="111">
        <v>294</v>
      </c>
      <c r="H331" s="111">
        <v>24090</v>
      </c>
      <c r="I331" s="117"/>
      <c r="J331" s="117"/>
      <c r="K331" s="117"/>
      <c r="L331" s="117"/>
    </row>
    <row r="332" spans="1:12" ht="10.25" customHeight="1" x14ac:dyDescent="0.15">
      <c r="A332" s="118" t="s">
        <v>328</v>
      </c>
      <c r="B332" s="111">
        <v>1060</v>
      </c>
      <c r="C332" s="111">
        <v>24116</v>
      </c>
      <c r="D332" s="112">
        <v>22.8</v>
      </c>
      <c r="E332" s="111">
        <v>3520</v>
      </c>
      <c r="F332" s="111">
        <v>1166</v>
      </c>
      <c r="G332" s="111">
        <v>342</v>
      </c>
      <c r="H332" s="111">
        <v>26074</v>
      </c>
      <c r="I332" s="117"/>
      <c r="J332" s="117"/>
      <c r="K332" s="117"/>
      <c r="L332" s="117"/>
    </row>
    <row r="333" spans="1:12" ht="10.25" customHeight="1" x14ac:dyDescent="0.15">
      <c r="A333" s="118" t="s">
        <v>164</v>
      </c>
      <c r="B333" s="111">
        <v>58</v>
      </c>
      <c r="C333" s="111">
        <v>3864</v>
      </c>
      <c r="D333" s="112">
        <v>67</v>
      </c>
      <c r="E333" s="111">
        <v>756</v>
      </c>
      <c r="F333" s="111">
        <v>250</v>
      </c>
      <c r="G333" s="111">
        <v>73</v>
      </c>
      <c r="H333" s="111">
        <v>5608</v>
      </c>
      <c r="I333" s="117"/>
      <c r="J333" s="117"/>
      <c r="K333" s="117"/>
      <c r="L333" s="117"/>
    </row>
    <row r="334" spans="1:12" ht="10.25" customHeight="1" x14ac:dyDescent="0.15">
      <c r="A334" s="118" t="s">
        <v>165</v>
      </c>
      <c r="B334" s="111">
        <v>30</v>
      </c>
      <c r="C334" s="111">
        <v>3027</v>
      </c>
      <c r="D334" s="112">
        <v>100.1</v>
      </c>
      <c r="E334" s="111">
        <v>653</v>
      </c>
      <c r="F334" s="111">
        <v>216</v>
      </c>
      <c r="G334" s="111">
        <v>63</v>
      </c>
      <c r="H334" s="111">
        <v>4457</v>
      </c>
      <c r="I334" s="117"/>
      <c r="J334" s="117"/>
      <c r="K334" s="117"/>
      <c r="L334" s="117"/>
    </row>
    <row r="335" spans="1:12" ht="10.25" customHeight="1" x14ac:dyDescent="0.15">
      <c r="A335" s="118" t="s">
        <v>166</v>
      </c>
      <c r="B335" s="111">
        <v>17</v>
      </c>
      <c r="C335" s="111">
        <v>2583</v>
      </c>
      <c r="D335" s="112">
        <v>150</v>
      </c>
      <c r="E335" s="111">
        <v>552</v>
      </c>
      <c r="F335" s="111">
        <v>183</v>
      </c>
      <c r="G335" s="111">
        <v>54</v>
      </c>
      <c r="H335" s="111">
        <v>3685</v>
      </c>
      <c r="I335" s="117"/>
      <c r="J335" s="117"/>
      <c r="K335" s="117"/>
      <c r="L335" s="117"/>
    </row>
    <row r="336" spans="1:12" ht="10.25" customHeight="1" x14ac:dyDescent="0.15">
      <c r="A336" s="118" t="s">
        <v>330</v>
      </c>
      <c r="B336" s="111">
        <v>10</v>
      </c>
      <c r="C336" s="111">
        <v>2748</v>
      </c>
      <c r="D336" s="112">
        <v>276.60000000000002</v>
      </c>
      <c r="E336" s="111">
        <v>662</v>
      </c>
      <c r="F336" s="111">
        <v>219</v>
      </c>
      <c r="G336" s="111">
        <v>64</v>
      </c>
      <c r="H336" s="111">
        <v>5118</v>
      </c>
      <c r="I336" s="117"/>
      <c r="J336" s="117"/>
      <c r="K336" s="117"/>
      <c r="L336" s="117"/>
    </row>
    <row r="337" spans="1:12" ht="10.25" customHeight="1" x14ac:dyDescent="0.15">
      <c r="A337" s="114"/>
      <c r="B337" s="111"/>
      <c r="C337" s="111"/>
      <c r="D337" s="112"/>
      <c r="E337" s="111"/>
      <c r="F337" s="111"/>
      <c r="G337" s="111"/>
      <c r="H337" s="111"/>
      <c r="I337" s="117"/>
      <c r="J337" s="117"/>
      <c r="K337" s="117"/>
      <c r="L337" s="117"/>
    </row>
    <row r="338" spans="1:12" ht="10.25" customHeight="1" x14ac:dyDescent="0.15">
      <c r="A338" s="115" t="s">
        <v>331</v>
      </c>
      <c r="B338" s="111"/>
      <c r="C338" s="111"/>
      <c r="D338" s="112"/>
      <c r="E338" s="111"/>
      <c r="F338" s="111"/>
      <c r="G338" s="111"/>
      <c r="H338" s="111"/>
      <c r="I338" s="117"/>
      <c r="J338" s="117"/>
      <c r="K338" s="117"/>
      <c r="L338" s="117"/>
    </row>
    <row r="339" spans="1:12" ht="10.25" customHeight="1" x14ac:dyDescent="0.15">
      <c r="A339" s="118" t="s">
        <v>327</v>
      </c>
      <c r="B339" s="111">
        <v>2464</v>
      </c>
      <c r="C339" s="111">
        <v>17050</v>
      </c>
      <c r="D339" s="112">
        <v>6.9</v>
      </c>
      <c r="E339" s="111">
        <v>2040</v>
      </c>
      <c r="F339" s="111">
        <v>676</v>
      </c>
      <c r="G339" s="111">
        <v>198</v>
      </c>
      <c r="H339" s="111">
        <v>16622</v>
      </c>
      <c r="I339" s="117"/>
      <c r="J339" s="117"/>
      <c r="K339" s="117"/>
      <c r="L339" s="117"/>
    </row>
    <row r="340" spans="1:12" ht="10.25" customHeight="1" x14ac:dyDescent="0.15">
      <c r="A340" s="118" t="s">
        <v>149</v>
      </c>
      <c r="B340" s="111">
        <v>1250</v>
      </c>
      <c r="C340" s="111">
        <v>15475</v>
      </c>
      <c r="D340" s="112">
        <v>12.4</v>
      </c>
      <c r="E340" s="111">
        <v>1792</v>
      </c>
      <c r="F340" s="111">
        <v>593</v>
      </c>
      <c r="G340" s="111">
        <v>174</v>
      </c>
      <c r="H340" s="111">
        <v>14098</v>
      </c>
      <c r="I340" s="117"/>
      <c r="J340" s="117"/>
      <c r="K340" s="117"/>
      <c r="L340" s="117"/>
    </row>
    <row r="341" spans="1:12" ht="10.25" customHeight="1" x14ac:dyDescent="0.15">
      <c r="A341" s="118" t="s">
        <v>332</v>
      </c>
      <c r="B341" s="111">
        <v>549</v>
      </c>
      <c r="C341" s="111">
        <v>15082</v>
      </c>
      <c r="D341" s="112">
        <v>27.5</v>
      </c>
      <c r="E341" s="111">
        <v>2132</v>
      </c>
      <c r="F341" s="111">
        <v>706</v>
      </c>
      <c r="G341" s="111">
        <v>207</v>
      </c>
      <c r="H341" s="111">
        <v>15555</v>
      </c>
      <c r="I341" s="117"/>
      <c r="J341" s="117"/>
      <c r="K341" s="117"/>
      <c r="L341" s="117"/>
    </row>
    <row r="342" spans="1:12" ht="10.25" customHeight="1" x14ac:dyDescent="0.15">
      <c r="A342" s="118" t="s">
        <v>164</v>
      </c>
      <c r="B342" s="111">
        <v>85</v>
      </c>
      <c r="C342" s="111">
        <v>5515</v>
      </c>
      <c r="D342" s="112">
        <v>64.7</v>
      </c>
      <c r="E342" s="111">
        <v>976</v>
      </c>
      <c r="F342" s="111">
        <v>323</v>
      </c>
      <c r="G342" s="111">
        <v>95</v>
      </c>
      <c r="H342" s="111">
        <v>7138</v>
      </c>
      <c r="I342" s="117"/>
      <c r="J342" s="117"/>
      <c r="K342" s="117"/>
      <c r="L342" s="117"/>
    </row>
    <row r="343" spans="1:12" ht="10.25" customHeight="1" x14ac:dyDescent="0.15">
      <c r="A343" s="118" t="s">
        <v>333</v>
      </c>
      <c r="B343" s="111">
        <v>54</v>
      </c>
      <c r="C343" s="111">
        <v>10185</v>
      </c>
      <c r="D343" s="112">
        <v>187.2</v>
      </c>
      <c r="E343" s="111">
        <v>2229</v>
      </c>
      <c r="F343" s="111">
        <v>738</v>
      </c>
      <c r="G343" s="111">
        <v>216</v>
      </c>
      <c r="H343" s="111">
        <v>15618</v>
      </c>
      <c r="I343" s="117"/>
      <c r="J343" s="117"/>
      <c r="K343" s="117"/>
      <c r="L343" s="117"/>
    </row>
    <row r="344" spans="1:12" ht="10.25" customHeight="1" x14ac:dyDescent="0.15">
      <c r="A344" s="114"/>
      <c r="B344" s="111"/>
      <c r="C344" s="111"/>
      <c r="D344" s="112"/>
      <c r="E344" s="111"/>
      <c r="F344" s="111"/>
      <c r="G344" s="111"/>
      <c r="H344" s="111"/>
      <c r="I344" s="117"/>
      <c r="J344" s="117"/>
      <c r="K344" s="117"/>
      <c r="L344" s="117"/>
    </row>
    <row r="345" spans="1:12" ht="10.25" customHeight="1" x14ac:dyDescent="0.15">
      <c r="A345" s="115" t="s">
        <v>334</v>
      </c>
      <c r="B345" s="111"/>
      <c r="C345" s="111"/>
      <c r="D345" s="112"/>
      <c r="E345" s="111"/>
      <c r="F345" s="111"/>
      <c r="G345" s="111"/>
      <c r="H345" s="111"/>
      <c r="I345" s="117"/>
      <c r="J345" s="117"/>
      <c r="K345" s="117"/>
      <c r="L345" s="117"/>
    </row>
    <row r="346" spans="1:12" ht="10.25" customHeight="1" x14ac:dyDescent="0.15">
      <c r="A346" s="115" t="s">
        <v>155</v>
      </c>
      <c r="B346" s="111"/>
      <c r="C346" s="111"/>
      <c r="D346" s="112"/>
      <c r="E346" s="111"/>
      <c r="F346" s="111"/>
      <c r="G346" s="111"/>
      <c r="H346" s="111"/>
      <c r="I346" s="117"/>
      <c r="J346" s="117"/>
      <c r="K346" s="117"/>
      <c r="L346" s="117"/>
    </row>
    <row r="347" spans="1:12" ht="10.25" customHeight="1" x14ac:dyDescent="0.15">
      <c r="A347" s="118" t="s">
        <v>335</v>
      </c>
      <c r="B347" s="111">
        <v>799</v>
      </c>
      <c r="C347" s="111">
        <v>22223</v>
      </c>
      <c r="D347" s="112">
        <v>27.8</v>
      </c>
      <c r="E347" s="111">
        <v>4155</v>
      </c>
      <c r="F347" s="111">
        <v>1376</v>
      </c>
      <c r="G347" s="111">
        <v>403</v>
      </c>
      <c r="H347" s="111">
        <v>29771</v>
      </c>
      <c r="I347" s="117"/>
      <c r="J347" s="117"/>
      <c r="K347" s="117"/>
      <c r="L347" s="117"/>
    </row>
    <row r="348" spans="1:12" ht="10.25" customHeight="1" x14ac:dyDescent="0.15">
      <c r="A348" s="114" t="s">
        <v>336</v>
      </c>
      <c r="B348" s="111"/>
      <c r="C348" s="111"/>
      <c r="D348" s="112"/>
      <c r="E348" s="111"/>
      <c r="F348" s="111"/>
      <c r="G348" s="111"/>
      <c r="H348" s="111"/>
      <c r="I348" s="117"/>
      <c r="J348" s="117"/>
      <c r="K348" s="117"/>
      <c r="L348" s="117"/>
    </row>
    <row r="349" spans="1:12" ht="10.25" customHeight="1" x14ac:dyDescent="0.15">
      <c r="A349" s="118" t="s">
        <v>337</v>
      </c>
      <c r="B349" s="111">
        <v>567</v>
      </c>
      <c r="C349" s="111">
        <v>19482</v>
      </c>
      <c r="D349" s="112">
        <v>34.4</v>
      </c>
      <c r="E349" s="111">
        <v>3522</v>
      </c>
      <c r="F349" s="111">
        <v>1167</v>
      </c>
      <c r="G349" s="111">
        <v>342</v>
      </c>
      <c r="H349" s="111">
        <v>24710</v>
      </c>
      <c r="I349" s="117"/>
      <c r="J349" s="117"/>
      <c r="K349" s="117"/>
      <c r="L349" s="117"/>
    </row>
    <row r="350" spans="1:12" ht="10.25" customHeight="1" x14ac:dyDescent="0.15">
      <c r="A350" s="118" t="s">
        <v>338</v>
      </c>
      <c r="B350" s="111">
        <v>553</v>
      </c>
      <c r="C350" s="111">
        <v>26873</v>
      </c>
      <c r="D350" s="112">
        <v>48.6</v>
      </c>
      <c r="E350" s="111">
        <v>4678</v>
      </c>
      <c r="F350" s="111">
        <v>1550</v>
      </c>
      <c r="G350" s="111">
        <v>454</v>
      </c>
      <c r="H350" s="111">
        <v>33308</v>
      </c>
      <c r="I350" s="117"/>
      <c r="J350" s="117"/>
      <c r="K350" s="117"/>
      <c r="L350" s="117"/>
    </row>
    <row r="351" spans="1:12" ht="10.25" customHeight="1" x14ac:dyDescent="0.15">
      <c r="A351" s="114"/>
      <c r="B351" s="111"/>
      <c r="C351" s="111"/>
      <c r="D351" s="112"/>
      <c r="E351" s="111"/>
      <c r="F351" s="111"/>
      <c r="G351" s="111"/>
      <c r="H351" s="111"/>
      <c r="I351" s="117"/>
      <c r="J351" s="117"/>
      <c r="K351" s="117"/>
      <c r="L351" s="117"/>
    </row>
    <row r="352" spans="1:12" ht="10.25" customHeight="1" x14ac:dyDescent="0.15">
      <c r="A352" s="115" t="s">
        <v>339</v>
      </c>
      <c r="B352" s="111"/>
      <c r="C352" s="111"/>
      <c r="D352" s="112"/>
      <c r="E352" s="111"/>
      <c r="F352" s="111"/>
      <c r="G352" s="111"/>
      <c r="H352" s="111"/>
      <c r="I352" s="117"/>
      <c r="J352" s="117"/>
      <c r="K352" s="117"/>
      <c r="L352" s="117"/>
    </row>
    <row r="353" spans="1:12" ht="10.25" customHeight="1" x14ac:dyDescent="0.15">
      <c r="A353" s="115" t="s">
        <v>155</v>
      </c>
      <c r="B353" s="111"/>
      <c r="C353" s="111"/>
      <c r="D353" s="112"/>
      <c r="E353" s="111"/>
      <c r="F353" s="111"/>
      <c r="G353" s="111"/>
      <c r="H353" s="111"/>
      <c r="I353" s="117"/>
      <c r="J353" s="117"/>
      <c r="K353" s="117"/>
      <c r="L353" s="117"/>
    </row>
    <row r="354" spans="1:12" ht="10.25" customHeight="1" x14ac:dyDescent="0.15">
      <c r="A354" s="118" t="s">
        <v>340</v>
      </c>
      <c r="B354" s="111">
        <v>466</v>
      </c>
      <c r="C354" s="111">
        <v>19597</v>
      </c>
      <c r="D354" s="112">
        <v>42.1</v>
      </c>
      <c r="E354" s="111">
        <v>3827</v>
      </c>
      <c r="F354" s="111">
        <v>1267</v>
      </c>
      <c r="G354" s="111">
        <v>371</v>
      </c>
      <c r="H354" s="111">
        <v>26726</v>
      </c>
      <c r="I354" s="117"/>
      <c r="J354" s="117"/>
      <c r="K354" s="117"/>
      <c r="L354" s="117"/>
    </row>
    <row r="355" spans="1:12" ht="10.25" customHeight="1" x14ac:dyDescent="0.15">
      <c r="A355" s="118" t="s">
        <v>341</v>
      </c>
      <c r="B355" s="111">
        <v>508</v>
      </c>
      <c r="C355" s="111">
        <v>21108</v>
      </c>
      <c r="D355" s="112">
        <v>41.5</v>
      </c>
      <c r="E355" s="111">
        <v>4251</v>
      </c>
      <c r="F355" s="111">
        <v>1408</v>
      </c>
      <c r="G355" s="111">
        <v>413</v>
      </c>
      <c r="H355" s="111">
        <v>29663</v>
      </c>
      <c r="I355" s="117"/>
      <c r="J355" s="117"/>
      <c r="K355" s="117"/>
      <c r="L355" s="117"/>
    </row>
    <row r="356" spans="1:12" ht="10.25" customHeight="1" x14ac:dyDescent="0.15">
      <c r="A356" s="118" t="s">
        <v>342</v>
      </c>
      <c r="B356" s="111">
        <v>2576</v>
      </c>
      <c r="C356" s="111">
        <v>51151</v>
      </c>
      <c r="D356" s="112">
        <v>19.899999999999999</v>
      </c>
      <c r="E356" s="111">
        <v>8161</v>
      </c>
      <c r="F356" s="111">
        <v>2703</v>
      </c>
      <c r="G356" s="111">
        <v>792</v>
      </c>
      <c r="H356" s="111">
        <v>60420</v>
      </c>
      <c r="I356" s="117"/>
      <c r="J356" s="117"/>
      <c r="K356" s="117"/>
      <c r="L356" s="117"/>
    </row>
    <row r="357" spans="1:12" ht="10.25" customHeight="1" x14ac:dyDescent="0.15">
      <c r="A357" s="114" t="s">
        <v>343</v>
      </c>
      <c r="B357" s="111"/>
      <c r="C357" s="111"/>
      <c r="D357" s="112"/>
      <c r="E357" s="111"/>
      <c r="F357" s="111"/>
      <c r="G357" s="111"/>
      <c r="H357" s="111"/>
      <c r="I357" s="117"/>
      <c r="J357" s="117"/>
      <c r="K357" s="117"/>
      <c r="L357" s="117"/>
    </row>
    <row r="358" spans="1:12" ht="10.25" customHeight="1" x14ac:dyDescent="0.15">
      <c r="A358" s="118" t="s">
        <v>344</v>
      </c>
      <c r="B358" s="111">
        <v>252</v>
      </c>
      <c r="C358" s="111">
        <v>15630</v>
      </c>
      <c r="D358" s="112">
        <v>62</v>
      </c>
      <c r="E358" s="111">
        <v>2881</v>
      </c>
      <c r="F358" s="111">
        <v>954</v>
      </c>
      <c r="G358" s="111">
        <v>280</v>
      </c>
      <c r="H358" s="111">
        <v>20451</v>
      </c>
      <c r="I358" s="117"/>
      <c r="J358" s="117"/>
      <c r="K358" s="117"/>
      <c r="L358" s="117"/>
    </row>
    <row r="359" spans="1:12" ht="10.25" customHeight="1" x14ac:dyDescent="0.15">
      <c r="A359" s="114"/>
      <c r="B359" s="111"/>
      <c r="C359" s="111"/>
      <c r="D359" s="112"/>
      <c r="E359" s="111"/>
      <c r="F359" s="111"/>
      <c r="G359" s="111"/>
      <c r="H359" s="111"/>
      <c r="I359" s="117"/>
      <c r="J359" s="117"/>
      <c r="K359" s="117"/>
      <c r="L359" s="117"/>
    </row>
    <row r="360" spans="1:12" ht="10.25" customHeight="1" x14ac:dyDescent="0.15">
      <c r="A360" s="115" t="s">
        <v>345</v>
      </c>
      <c r="B360" s="111"/>
      <c r="C360" s="111"/>
      <c r="D360" s="112"/>
      <c r="E360" s="111"/>
      <c r="F360" s="111"/>
      <c r="G360" s="111"/>
      <c r="H360" s="111"/>
      <c r="I360" s="117"/>
      <c r="J360" s="117"/>
      <c r="K360" s="117"/>
      <c r="L360" s="117"/>
    </row>
    <row r="361" spans="1:12" ht="10.25" customHeight="1" x14ac:dyDescent="0.15">
      <c r="A361" s="115" t="s">
        <v>346</v>
      </c>
      <c r="B361" s="111"/>
      <c r="C361" s="111"/>
      <c r="D361" s="112"/>
      <c r="E361" s="111"/>
      <c r="F361" s="111"/>
      <c r="G361" s="111"/>
      <c r="H361" s="111"/>
      <c r="I361" s="117"/>
      <c r="J361" s="117"/>
      <c r="K361" s="117"/>
      <c r="L361" s="117"/>
    </row>
    <row r="362" spans="1:12" ht="10.25" customHeight="1" x14ac:dyDescent="0.15">
      <c r="A362" s="115" t="s">
        <v>347</v>
      </c>
      <c r="B362" s="111"/>
      <c r="C362" s="111"/>
      <c r="D362" s="112"/>
      <c r="E362" s="111"/>
      <c r="F362" s="111"/>
      <c r="G362" s="111"/>
      <c r="H362" s="111"/>
      <c r="I362" s="117"/>
      <c r="J362" s="117"/>
      <c r="K362" s="117"/>
      <c r="L362" s="117"/>
    </row>
    <row r="363" spans="1:12" ht="10.25" customHeight="1" x14ac:dyDescent="0.15">
      <c r="A363" s="118" t="s">
        <v>348</v>
      </c>
      <c r="B363" s="111">
        <v>2175</v>
      </c>
      <c r="C363" s="111">
        <v>38727</v>
      </c>
      <c r="D363" s="112">
        <v>17.8</v>
      </c>
      <c r="E363" s="111">
        <v>6109</v>
      </c>
      <c r="F363" s="111">
        <v>2024</v>
      </c>
      <c r="G363" s="111">
        <v>593</v>
      </c>
      <c r="H363" s="111">
        <v>43784</v>
      </c>
      <c r="I363" s="117"/>
      <c r="J363" s="117"/>
      <c r="K363" s="117"/>
      <c r="L363" s="117"/>
    </row>
    <row r="364" spans="1:12" ht="10.25" customHeight="1" x14ac:dyDescent="0.15">
      <c r="A364" s="118" t="s">
        <v>349</v>
      </c>
      <c r="B364" s="111">
        <v>1313</v>
      </c>
      <c r="C364" s="111">
        <v>29625</v>
      </c>
      <c r="D364" s="112">
        <v>22.6</v>
      </c>
      <c r="E364" s="111">
        <v>5077</v>
      </c>
      <c r="F364" s="111">
        <v>1682</v>
      </c>
      <c r="G364" s="111">
        <v>493</v>
      </c>
      <c r="H364" s="111">
        <v>37166</v>
      </c>
      <c r="I364" s="117"/>
      <c r="J364" s="117"/>
      <c r="K364" s="117"/>
      <c r="L364" s="117"/>
    </row>
    <row r="365" spans="1:12" ht="10.25" customHeight="1" x14ac:dyDescent="0.15">
      <c r="A365" s="118" t="s">
        <v>350</v>
      </c>
      <c r="B365" s="111">
        <v>305</v>
      </c>
      <c r="C365" s="111">
        <v>8529</v>
      </c>
      <c r="D365" s="112">
        <v>27.9</v>
      </c>
      <c r="E365" s="111">
        <v>1576</v>
      </c>
      <c r="F365" s="111">
        <v>522</v>
      </c>
      <c r="G365" s="111">
        <v>153</v>
      </c>
      <c r="H365" s="111">
        <v>11302</v>
      </c>
      <c r="I365" s="117"/>
      <c r="J365" s="117"/>
      <c r="K365" s="117"/>
      <c r="L365" s="117"/>
    </row>
    <row r="366" spans="1:12" ht="10.25" customHeight="1" x14ac:dyDescent="0.15">
      <c r="A366" s="114" t="s">
        <v>351</v>
      </c>
      <c r="B366" s="111"/>
      <c r="C366" s="111"/>
      <c r="D366" s="112"/>
      <c r="E366" s="111"/>
      <c r="F366" s="111"/>
      <c r="G366" s="111"/>
      <c r="H366" s="111"/>
      <c r="I366" s="117"/>
      <c r="J366" s="117"/>
      <c r="K366" s="117"/>
      <c r="L366" s="117"/>
    </row>
    <row r="367" spans="1:12" ht="10.25" customHeight="1" x14ac:dyDescent="0.15">
      <c r="A367" s="118" t="s">
        <v>352</v>
      </c>
      <c r="B367" s="111">
        <v>1220</v>
      </c>
      <c r="C367" s="111">
        <v>17172</v>
      </c>
      <c r="D367" s="112">
        <v>14.1</v>
      </c>
      <c r="E367" s="111">
        <v>2900</v>
      </c>
      <c r="F367" s="111">
        <v>961</v>
      </c>
      <c r="G367" s="111">
        <v>282</v>
      </c>
      <c r="H367" s="111">
        <v>21798</v>
      </c>
      <c r="I367" s="117"/>
      <c r="J367" s="117"/>
      <c r="K367" s="117"/>
      <c r="L367" s="117"/>
    </row>
    <row r="368" spans="1:12" ht="10.25" customHeight="1" x14ac:dyDescent="0.15">
      <c r="A368" s="118" t="s">
        <v>353</v>
      </c>
      <c r="B368" s="111">
        <v>324</v>
      </c>
      <c r="C368" s="111">
        <v>12508</v>
      </c>
      <c r="D368" s="112">
        <v>38.6</v>
      </c>
      <c r="E368" s="111">
        <v>1948</v>
      </c>
      <c r="F368" s="111">
        <v>645</v>
      </c>
      <c r="G368" s="111">
        <v>189</v>
      </c>
      <c r="H368" s="111">
        <v>14007</v>
      </c>
      <c r="I368" s="117"/>
      <c r="J368" s="117"/>
      <c r="K368" s="117"/>
      <c r="L368" s="117"/>
    </row>
    <row r="369" spans="1:12" ht="10.25" customHeight="1" x14ac:dyDescent="0.15">
      <c r="A369" s="118" t="s">
        <v>354</v>
      </c>
      <c r="B369" s="111">
        <v>74</v>
      </c>
      <c r="C369" s="111">
        <v>2868</v>
      </c>
      <c r="D369" s="112">
        <v>38.700000000000003</v>
      </c>
      <c r="E369" s="111">
        <v>623</v>
      </c>
      <c r="F369" s="111">
        <v>206</v>
      </c>
      <c r="G369" s="111">
        <v>60</v>
      </c>
      <c r="H369" s="111">
        <v>4847</v>
      </c>
      <c r="I369" s="117"/>
      <c r="J369" s="117"/>
      <c r="K369" s="117"/>
      <c r="L369" s="117"/>
    </row>
    <row r="370" spans="1:12" ht="10.25" customHeight="1" x14ac:dyDescent="0.15">
      <c r="A370" s="118" t="s">
        <v>355</v>
      </c>
      <c r="B370" s="111">
        <v>928</v>
      </c>
      <c r="C370" s="111">
        <v>26118</v>
      </c>
      <c r="D370" s="112">
        <v>28.2</v>
      </c>
      <c r="E370" s="111">
        <v>4488</v>
      </c>
      <c r="F370" s="111">
        <v>1487</v>
      </c>
      <c r="G370" s="111">
        <v>436</v>
      </c>
      <c r="H370" s="111">
        <v>32092</v>
      </c>
      <c r="I370" s="117"/>
      <c r="J370" s="117"/>
      <c r="K370" s="117"/>
      <c r="L370" s="117"/>
    </row>
    <row r="371" spans="1:12" ht="10.25" customHeight="1" x14ac:dyDescent="0.15">
      <c r="A371" s="118" t="s">
        <v>356</v>
      </c>
      <c r="B371" s="111">
        <v>2577</v>
      </c>
      <c r="C371" s="111">
        <v>46882</v>
      </c>
      <c r="D371" s="112">
        <v>18.2</v>
      </c>
      <c r="E371" s="111">
        <v>7543</v>
      </c>
      <c r="F371" s="111">
        <v>2498</v>
      </c>
      <c r="G371" s="111">
        <v>732</v>
      </c>
      <c r="H371" s="111">
        <v>55837</v>
      </c>
      <c r="I371" s="117"/>
      <c r="J371" s="117"/>
      <c r="K371" s="117"/>
      <c r="L371" s="117"/>
    </row>
    <row r="372" spans="1:12" ht="10.25" customHeight="1" x14ac:dyDescent="0.15">
      <c r="A372" s="114" t="s">
        <v>343</v>
      </c>
      <c r="B372" s="111"/>
      <c r="C372" s="111"/>
      <c r="D372" s="112"/>
      <c r="E372" s="111"/>
      <c r="F372" s="111"/>
      <c r="G372" s="111"/>
      <c r="H372" s="111"/>
      <c r="I372" s="117"/>
      <c r="J372" s="117"/>
      <c r="K372" s="117"/>
      <c r="L372" s="117"/>
    </row>
    <row r="373" spans="1:12" ht="10.25" customHeight="1" x14ac:dyDescent="0.15">
      <c r="A373" s="114" t="s">
        <v>357</v>
      </c>
      <c r="B373" s="111"/>
      <c r="C373" s="111"/>
      <c r="D373" s="112"/>
      <c r="E373" s="111"/>
      <c r="F373" s="111"/>
      <c r="G373" s="111"/>
      <c r="H373" s="111"/>
      <c r="I373" s="117"/>
      <c r="J373" s="117"/>
      <c r="K373" s="117"/>
      <c r="L373" s="117"/>
    </row>
    <row r="374" spans="1:12" ht="10.25" customHeight="1" x14ac:dyDescent="0.15">
      <c r="A374" s="118" t="s">
        <v>358</v>
      </c>
      <c r="B374" s="111">
        <v>60</v>
      </c>
      <c r="C374" s="111">
        <v>4781</v>
      </c>
      <c r="D374" s="112">
        <v>80.099999999999994</v>
      </c>
      <c r="E374" s="111">
        <v>939</v>
      </c>
      <c r="F374" s="111">
        <v>311</v>
      </c>
      <c r="G374" s="111">
        <v>91</v>
      </c>
      <c r="H374" s="111">
        <v>6922</v>
      </c>
      <c r="I374" s="117"/>
      <c r="J374" s="117"/>
      <c r="K374" s="117"/>
      <c r="L374" s="117"/>
    </row>
    <row r="375" spans="1:12" ht="10.25" customHeight="1" x14ac:dyDescent="0.15">
      <c r="A375" s="114"/>
      <c r="B375" s="111"/>
      <c r="C375" s="111"/>
      <c r="D375" s="112"/>
      <c r="E375" s="111"/>
      <c r="F375" s="111"/>
      <c r="G375" s="111"/>
      <c r="H375" s="111"/>
      <c r="I375" s="117"/>
      <c r="J375" s="117"/>
      <c r="K375" s="117"/>
      <c r="L375" s="117"/>
    </row>
    <row r="376" spans="1:12" ht="10.25" customHeight="1" x14ac:dyDescent="0.15">
      <c r="A376" s="115" t="s">
        <v>359</v>
      </c>
      <c r="B376" s="111"/>
      <c r="C376" s="111"/>
      <c r="D376" s="112"/>
      <c r="E376" s="111"/>
      <c r="F376" s="111"/>
      <c r="G376" s="111"/>
      <c r="H376" s="111"/>
      <c r="I376" s="117"/>
      <c r="J376" s="117"/>
      <c r="K376" s="117"/>
      <c r="L376" s="117"/>
    </row>
    <row r="377" spans="1:12" ht="10.25" customHeight="1" x14ac:dyDescent="0.15">
      <c r="A377" s="115" t="s">
        <v>360</v>
      </c>
      <c r="B377" s="111"/>
      <c r="C377" s="111"/>
      <c r="D377" s="112"/>
      <c r="E377" s="111"/>
      <c r="F377" s="111"/>
      <c r="G377" s="111"/>
      <c r="H377" s="111"/>
      <c r="I377" s="117"/>
      <c r="J377" s="117"/>
      <c r="K377" s="117"/>
      <c r="L377" s="117"/>
    </row>
    <row r="378" spans="1:12" ht="10.25" customHeight="1" x14ac:dyDescent="0.15">
      <c r="A378" s="115" t="s">
        <v>310</v>
      </c>
      <c r="B378" s="111"/>
      <c r="C378" s="111"/>
      <c r="D378" s="112"/>
      <c r="E378" s="111"/>
      <c r="F378" s="111"/>
      <c r="G378" s="111"/>
      <c r="H378" s="111"/>
      <c r="I378" s="117"/>
      <c r="J378" s="117"/>
      <c r="K378" s="117"/>
      <c r="L378" s="117"/>
    </row>
    <row r="379" spans="1:12" ht="10.25" customHeight="1" x14ac:dyDescent="0.15">
      <c r="A379" s="118" t="s">
        <v>296</v>
      </c>
      <c r="B379" s="111">
        <v>2876</v>
      </c>
      <c r="C379" s="111">
        <v>42707</v>
      </c>
      <c r="D379" s="112">
        <v>14.8</v>
      </c>
      <c r="E379" s="111">
        <v>5828</v>
      </c>
      <c r="F379" s="111">
        <v>1930</v>
      </c>
      <c r="G379" s="111">
        <v>566</v>
      </c>
      <c r="H379" s="111">
        <v>45100</v>
      </c>
      <c r="I379" s="117"/>
      <c r="J379" s="117"/>
      <c r="K379" s="117"/>
      <c r="L379" s="117"/>
    </row>
    <row r="380" spans="1:12" ht="10.25" customHeight="1" x14ac:dyDescent="0.15">
      <c r="A380" s="118" t="s">
        <v>297</v>
      </c>
      <c r="B380" s="111">
        <v>2759</v>
      </c>
      <c r="C380" s="111">
        <v>43190</v>
      </c>
      <c r="D380" s="112">
        <v>15.7</v>
      </c>
      <c r="E380" s="111">
        <v>6132</v>
      </c>
      <c r="F380" s="111">
        <v>2031</v>
      </c>
      <c r="G380" s="111">
        <v>595</v>
      </c>
      <c r="H380" s="111">
        <v>47552</v>
      </c>
      <c r="I380" s="117"/>
      <c r="J380" s="117"/>
      <c r="K380" s="117"/>
      <c r="L380" s="117"/>
    </row>
    <row r="381" spans="1:12" ht="10.25" customHeight="1" x14ac:dyDescent="0.15">
      <c r="A381" s="118" t="s">
        <v>361</v>
      </c>
      <c r="B381" s="111">
        <v>3685</v>
      </c>
      <c r="C381" s="111">
        <v>46987</v>
      </c>
      <c r="D381" s="112">
        <v>12.7</v>
      </c>
      <c r="E381" s="111">
        <v>6057</v>
      </c>
      <c r="F381" s="111">
        <v>2006</v>
      </c>
      <c r="G381" s="111">
        <v>588</v>
      </c>
      <c r="H381" s="111">
        <v>46811</v>
      </c>
      <c r="I381" s="117"/>
      <c r="J381" s="117"/>
      <c r="K381" s="117"/>
      <c r="L381" s="117"/>
    </row>
    <row r="382" spans="1:12" ht="11.25" customHeight="1" x14ac:dyDescent="0.15">
      <c r="A382" s="118" t="s">
        <v>362</v>
      </c>
      <c r="B382" s="111">
        <v>1504</v>
      </c>
      <c r="C382" s="111">
        <v>19397</v>
      </c>
      <c r="D382" s="112">
        <v>12.9</v>
      </c>
      <c r="E382" s="111">
        <v>2177</v>
      </c>
      <c r="F382" s="111">
        <v>721</v>
      </c>
      <c r="G382" s="111">
        <v>211</v>
      </c>
      <c r="H382" s="111">
        <v>17466</v>
      </c>
      <c r="I382" s="117"/>
      <c r="J382" s="117"/>
      <c r="K382" s="117"/>
      <c r="L382" s="117"/>
    </row>
    <row r="383" spans="1:12" ht="10.25" customHeight="1" x14ac:dyDescent="0.15">
      <c r="A383" s="114"/>
      <c r="B383" s="111"/>
      <c r="C383" s="111"/>
      <c r="D383" s="112"/>
      <c r="E383" s="111"/>
      <c r="F383" s="111"/>
      <c r="G383" s="111"/>
      <c r="H383" s="111"/>
      <c r="I383" s="117"/>
      <c r="J383" s="117"/>
      <c r="K383" s="117"/>
      <c r="L383" s="117"/>
    </row>
    <row r="384" spans="1:12" ht="10.25" customHeight="1" x14ac:dyDescent="0.15">
      <c r="A384" s="115" t="s">
        <v>363</v>
      </c>
      <c r="B384" s="111"/>
      <c r="C384" s="111"/>
      <c r="D384" s="112"/>
      <c r="E384" s="111"/>
      <c r="F384" s="111"/>
      <c r="G384" s="111"/>
      <c r="H384" s="111"/>
      <c r="I384" s="117"/>
      <c r="J384" s="117"/>
      <c r="K384" s="117"/>
      <c r="L384" s="117"/>
    </row>
    <row r="385" spans="1:12" ht="10.25" customHeight="1" x14ac:dyDescent="0.15">
      <c r="A385" s="115" t="s">
        <v>364</v>
      </c>
      <c r="B385" s="111"/>
      <c r="C385" s="111"/>
      <c r="D385" s="112"/>
      <c r="E385" s="111"/>
      <c r="F385" s="111"/>
      <c r="G385" s="111"/>
      <c r="H385" s="111"/>
      <c r="I385" s="117"/>
      <c r="J385" s="117"/>
      <c r="K385" s="117"/>
      <c r="L385" s="117"/>
    </row>
    <row r="386" spans="1:12" ht="10.25" customHeight="1" x14ac:dyDescent="0.15">
      <c r="A386" s="118" t="s">
        <v>365</v>
      </c>
      <c r="B386" s="111">
        <v>757</v>
      </c>
      <c r="C386" s="111">
        <v>2861</v>
      </c>
      <c r="D386" s="112">
        <v>3.8</v>
      </c>
      <c r="E386" s="111">
        <v>39</v>
      </c>
      <c r="F386" s="111">
        <v>13</v>
      </c>
      <c r="G386" s="111">
        <v>4</v>
      </c>
      <c r="H386" s="111">
        <v>476</v>
      </c>
      <c r="I386" s="117"/>
      <c r="J386" s="117"/>
      <c r="K386" s="117"/>
      <c r="L386" s="117"/>
    </row>
    <row r="387" spans="1:12" ht="10.25" customHeight="1" x14ac:dyDescent="0.15">
      <c r="A387" s="118" t="s">
        <v>366</v>
      </c>
      <c r="B387" s="111">
        <v>1698</v>
      </c>
      <c r="C387" s="111">
        <v>9228</v>
      </c>
      <c r="D387" s="112">
        <v>5.4</v>
      </c>
      <c r="E387" s="111">
        <v>463</v>
      </c>
      <c r="F387" s="111">
        <v>153</v>
      </c>
      <c r="G387" s="111">
        <v>45</v>
      </c>
      <c r="H387" s="111">
        <v>4668</v>
      </c>
      <c r="I387" s="117"/>
      <c r="J387" s="117"/>
      <c r="K387" s="117"/>
      <c r="L387" s="117"/>
    </row>
    <row r="388" spans="1:12" ht="10.25" customHeight="1" x14ac:dyDescent="0.15">
      <c r="A388" s="118" t="s">
        <v>97</v>
      </c>
      <c r="B388" s="111">
        <v>705</v>
      </c>
      <c r="C388" s="111">
        <v>6461</v>
      </c>
      <c r="D388" s="112">
        <v>9.1999999999999993</v>
      </c>
      <c r="E388" s="111">
        <v>532</v>
      </c>
      <c r="F388" s="111">
        <v>176</v>
      </c>
      <c r="G388" s="111">
        <v>52</v>
      </c>
      <c r="H388" s="111">
        <v>5055</v>
      </c>
      <c r="I388" s="117"/>
      <c r="J388" s="117"/>
      <c r="K388" s="117"/>
      <c r="L388" s="117"/>
    </row>
    <row r="389" spans="1:12" ht="10.25" customHeight="1" x14ac:dyDescent="0.15">
      <c r="A389" s="118" t="s">
        <v>367</v>
      </c>
      <c r="B389" s="111">
        <v>954</v>
      </c>
      <c r="C389" s="111">
        <v>16111</v>
      </c>
      <c r="D389" s="112">
        <v>16.899999999999999</v>
      </c>
      <c r="E389" s="111">
        <v>2157</v>
      </c>
      <c r="F389" s="111">
        <v>715</v>
      </c>
      <c r="G389" s="111">
        <v>209</v>
      </c>
      <c r="H389" s="111">
        <v>18053</v>
      </c>
      <c r="I389" s="117"/>
      <c r="J389" s="117"/>
      <c r="K389" s="117"/>
      <c r="L389" s="117"/>
    </row>
    <row r="390" spans="1:12" ht="10.25" customHeight="1" x14ac:dyDescent="0.15">
      <c r="A390" s="118" t="s">
        <v>368</v>
      </c>
      <c r="B390" s="111">
        <v>142</v>
      </c>
      <c r="C390" s="111">
        <v>6737</v>
      </c>
      <c r="D390" s="112">
        <v>47.5</v>
      </c>
      <c r="E390" s="111">
        <v>999</v>
      </c>
      <c r="F390" s="111">
        <v>331</v>
      </c>
      <c r="G390" s="111">
        <v>97</v>
      </c>
      <c r="H390" s="111">
        <v>7735</v>
      </c>
      <c r="I390" s="117"/>
      <c r="J390" s="117"/>
      <c r="K390" s="117"/>
      <c r="L390" s="117"/>
    </row>
    <row r="391" spans="1:12" ht="10.25" customHeight="1" x14ac:dyDescent="0.15">
      <c r="A391" s="118" t="s">
        <v>369</v>
      </c>
      <c r="B391" s="111">
        <v>129</v>
      </c>
      <c r="C391" s="111">
        <v>13209</v>
      </c>
      <c r="D391" s="112">
        <v>102.6</v>
      </c>
      <c r="E391" s="111">
        <v>2769</v>
      </c>
      <c r="F391" s="111">
        <v>917</v>
      </c>
      <c r="G391" s="111">
        <v>269</v>
      </c>
      <c r="H391" s="111">
        <v>18537</v>
      </c>
      <c r="I391" s="117"/>
      <c r="J391" s="117"/>
      <c r="K391" s="117"/>
      <c r="L391" s="117"/>
    </row>
    <row r="392" spans="1:12" ht="10.25" customHeight="1" x14ac:dyDescent="0.15">
      <c r="A392" s="118" t="s">
        <v>370</v>
      </c>
      <c r="B392" s="111">
        <v>19</v>
      </c>
      <c r="C392" s="111">
        <v>8699</v>
      </c>
      <c r="D392" s="112">
        <v>464.8</v>
      </c>
      <c r="E392" s="111">
        <v>2209</v>
      </c>
      <c r="F392" s="111">
        <v>732</v>
      </c>
      <c r="G392" s="111">
        <v>214</v>
      </c>
      <c r="H392" s="111">
        <v>14507</v>
      </c>
      <c r="I392" s="117"/>
      <c r="J392" s="117"/>
      <c r="K392" s="117"/>
      <c r="L392" s="117"/>
    </row>
    <row r="393" spans="1:12" ht="10.25" customHeight="1" x14ac:dyDescent="0.15">
      <c r="A393" s="114"/>
      <c r="B393" s="111"/>
      <c r="C393" s="111"/>
      <c r="D393" s="112"/>
      <c r="E393" s="111"/>
      <c r="F393" s="111"/>
      <c r="G393" s="111"/>
      <c r="H393" s="111"/>
      <c r="I393" s="117"/>
      <c r="J393" s="117"/>
      <c r="K393" s="117"/>
      <c r="L393" s="117"/>
    </row>
    <row r="394" spans="1:12" ht="10.25" customHeight="1" x14ac:dyDescent="0.15">
      <c r="A394" s="115" t="s">
        <v>371</v>
      </c>
      <c r="B394" s="111"/>
      <c r="C394" s="111"/>
      <c r="D394" s="112"/>
      <c r="E394" s="111"/>
      <c r="F394" s="111"/>
      <c r="G394" s="111"/>
      <c r="H394" s="111"/>
      <c r="I394" s="117"/>
      <c r="J394" s="117"/>
      <c r="K394" s="117"/>
      <c r="L394" s="117"/>
    </row>
    <row r="395" spans="1:12" ht="10.25" customHeight="1" x14ac:dyDescent="0.15">
      <c r="A395" s="115" t="s">
        <v>372</v>
      </c>
      <c r="B395" s="111"/>
      <c r="C395" s="111"/>
      <c r="D395" s="112"/>
      <c r="E395" s="111"/>
      <c r="F395" s="111"/>
      <c r="G395" s="111"/>
      <c r="H395" s="111"/>
      <c r="I395" s="117"/>
      <c r="J395" s="117"/>
      <c r="K395" s="117"/>
      <c r="L395" s="117"/>
    </row>
    <row r="396" spans="1:12" ht="10.25" customHeight="1" x14ac:dyDescent="0.15">
      <c r="A396" s="115" t="s">
        <v>234</v>
      </c>
      <c r="B396" s="111"/>
      <c r="C396" s="111"/>
      <c r="D396" s="112"/>
      <c r="E396" s="111"/>
      <c r="F396" s="111"/>
      <c r="G396" s="111"/>
      <c r="H396" s="111"/>
      <c r="I396" s="117"/>
      <c r="J396" s="117"/>
      <c r="K396" s="117"/>
      <c r="L396" s="117"/>
    </row>
    <row r="397" spans="1:12" ht="10.25" customHeight="1" x14ac:dyDescent="0.15">
      <c r="A397" s="118" t="s">
        <v>373</v>
      </c>
      <c r="B397" s="111">
        <v>4225</v>
      </c>
      <c r="C397" s="111">
        <v>57853</v>
      </c>
      <c r="D397" s="119">
        <v>13.7</v>
      </c>
      <c r="E397" s="111">
        <v>8151</v>
      </c>
      <c r="F397" s="111">
        <v>2700</v>
      </c>
      <c r="G397" s="111">
        <v>791</v>
      </c>
      <c r="H397" s="111">
        <v>61476</v>
      </c>
      <c r="I397" s="117"/>
      <c r="J397" s="117"/>
      <c r="K397" s="117"/>
      <c r="L397" s="117"/>
    </row>
    <row r="398" spans="1:12" ht="10.25" customHeight="1" x14ac:dyDescent="0.15">
      <c r="A398" s="118" t="s">
        <v>374</v>
      </c>
      <c r="B398" s="111">
        <v>152</v>
      </c>
      <c r="C398" s="111">
        <v>4945</v>
      </c>
      <c r="D398" s="119">
        <v>32.5</v>
      </c>
      <c r="E398" s="111">
        <v>930</v>
      </c>
      <c r="F398" s="111">
        <v>308</v>
      </c>
      <c r="G398" s="111">
        <v>90</v>
      </c>
      <c r="H398" s="111">
        <v>7052</v>
      </c>
      <c r="I398" s="117"/>
      <c r="J398" s="117"/>
      <c r="K398" s="117"/>
      <c r="L398" s="117"/>
    </row>
    <row r="399" spans="1:12" ht="10.25" customHeight="1" x14ac:dyDescent="0.15">
      <c r="B399" s="117"/>
      <c r="C399" s="117"/>
      <c r="D399" s="117"/>
      <c r="E399" s="117"/>
      <c r="F399" s="117"/>
      <c r="G399" s="117"/>
      <c r="H399" s="117"/>
      <c r="I399" s="117"/>
      <c r="J399" s="117"/>
      <c r="K399" s="117"/>
      <c r="L399" s="117"/>
    </row>
    <row r="400" spans="1:12" s="43" customFormat="1" ht="100.5" customHeight="1" x14ac:dyDescent="0.15">
      <c r="A400" s="1356" t="s">
        <v>375</v>
      </c>
      <c r="B400" s="1357"/>
      <c r="C400" s="1357"/>
      <c r="D400" s="1357"/>
      <c r="E400" s="1357"/>
      <c r="F400" s="1357"/>
      <c r="G400" s="1357"/>
      <c r="H400" s="1357"/>
      <c r="I400" s="120"/>
    </row>
    <row r="401" spans="1:8" ht="79.5" customHeight="1" x14ac:dyDescent="0.15">
      <c r="A401" s="1330" t="s">
        <v>376</v>
      </c>
      <c r="B401" s="1331"/>
      <c r="C401" s="1331"/>
      <c r="D401" s="1331"/>
      <c r="E401" s="1331"/>
      <c r="F401" s="1331"/>
      <c r="G401" s="1331"/>
      <c r="H401" s="1331"/>
    </row>
    <row r="402" spans="1:8" ht="10.25" customHeight="1" x14ac:dyDescent="0.15"/>
    <row r="403" spans="1:8" ht="10.25" customHeight="1" x14ac:dyDescent="0.15"/>
    <row r="404" spans="1:8" ht="10.25" customHeight="1" x14ac:dyDescent="0.15"/>
    <row r="405" spans="1:8" ht="10.25" customHeight="1" x14ac:dyDescent="0.15"/>
    <row r="406" spans="1:8" ht="10.25" customHeight="1" x14ac:dyDescent="0.15"/>
    <row r="407" spans="1:8" ht="10.25" customHeight="1" x14ac:dyDescent="0.15"/>
    <row r="408" spans="1:8" ht="10.25" customHeight="1" x14ac:dyDescent="0.15"/>
    <row r="409" spans="1:8" ht="10.25" customHeight="1" x14ac:dyDescent="0.15"/>
    <row r="410" spans="1:8" ht="10.25" customHeight="1" x14ac:dyDescent="0.15"/>
    <row r="411" spans="1:8" ht="10.25" customHeight="1" x14ac:dyDescent="0.15"/>
    <row r="412" spans="1:8" ht="10.25" customHeight="1" x14ac:dyDescent="0.15"/>
    <row r="413" spans="1:8" ht="10.25" customHeight="1" x14ac:dyDescent="0.15"/>
    <row r="414" spans="1:8" ht="10.25" customHeight="1" x14ac:dyDescent="0.15"/>
    <row r="415" spans="1:8" ht="10.25" customHeight="1" x14ac:dyDescent="0.15"/>
    <row r="416" spans="1:8" ht="10.25" customHeight="1" x14ac:dyDescent="0.15"/>
    <row r="417" ht="10.25" customHeight="1" x14ac:dyDescent="0.15"/>
    <row r="418" ht="10.25" customHeight="1" x14ac:dyDescent="0.15"/>
    <row r="419" ht="10.25" customHeight="1" x14ac:dyDescent="0.15"/>
    <row r="420" ht="10.25" customHeight="1" x14ac:dyDescent="0.15"/>
    <row r="421" ht="10.25" customHeight="1" x14ac:dyDescent="0.15"/>
    <row r="422" ht="10.25" customHeight="1" x14ac:dyDescent="0.15"/>
    <row r="423" ht="10.25" customHeight="1" x14ac:dyDescent="0.15"/>
    <row r="424" ht="10.25" customHeight="1" x14ac:dyDescent="0.15"/>
    <row r="425" ht="10.25" customHeight="1" x14ac:dyDescent="0.15"/>
    <row r="426" ht="10.25" customHeight="1" x14ac:dyDescent="0.15"/>
    <row r="427" ht="10.25" customHeight="1" x14ac:dyDescent="0.15"/>
    <row r="428" ht="10.25" customHeight="1" x14ac:dyDescent="0.15"/>
    <row r="429" ht="10.25" customHeight="1" x14ac:dyDescent="0.15"/>
    <row r="430" ht="10.25" customHeight="1" x14ac:dyDescent="0.15"/>
    <row r="431" ht="10.25" customHeight="1" x14ac:dyDescent="0.15"/>
    <row r="432" ht="10.25" customHeight="1" x14ac:dyDescent="0.15"/>
    <row r="433" ht="10.25" customHeight="1" x14ac:dyDescent="0.15"/>
    <row r="434" ht="10.25" customHeight="1" x14ac:dyDescent="0.15"/>
    <row r="435" ht="10.25" customHeight="1" x14ac:dyDescent="0.15"/>
    <row r="436" ht="10.25" customHeight="1" x14ac:dyDescent="0.15"/>
    <row r="437" ht="10.25" customHeight="1" x14ac:dyDescent="0.15"/>
    <row r="438" ht="10.25" customHeight="1" x14ac:dyDescent="0.15"/>
    <row r="439" ht="10.25" customHeight="1" x14ac:dyDescent="0.15"/>
    <row r="440" ht="10.25" customHeight="1" x14ac:dyDescent="0.15"/>
    <row r="441" ht="10.25" customHeight="1" x14ac:dyDescent="0.15"/>
    <row r="442" ht="10.25" customHeight="1" x14ac:dyDescent="0.15"/>
    <row r="443" ht="10.25" customHeight="1" x14ac:dyDescent="0.15"/>
    <row r="444" ht="10.25" customHeight="1" x14ac:dyDescent="0.15"/>
    <row r="445" ht="10.25" customHeight="1" x14ac:dyDescent="0.15"/>
    <row r="446" ht="10.25" customHeight="1" x14ac:dyDescent="0.15"/>
    <row r="447" ht="10.25" customHeight="1" x14ac:dyDescent="0.15"/>
    <row r="448" ht="10.25" customHeight="1" x14ac:dyDescent="0.15"/>
    <row r="449" ht="10.25" customHeight="1" x14ac:dyDescent="0.15"/>
    <row r="450" ht="10.25" customHeight="1" x14ac:dyDescent="0.15"/>
    <row r="451" ht="10.25" customHeight="1" x14ac:dyDescent="0.15"/>
    <row r="452" ht="10.25" customHeight="1" x14ac:dyDescent="0.15"/>
    <row r="453" ht="10.25" customHeight="1" x14ac:dyDescent="0.15"/>
    <row r="454" ht="10.25" customHeight="1" x14ac:dyDescent="0.15"/>
    <row r="455" ht="10.25" customHeight="1" x14ac:dyDescent="0.15"/>
    <row r="456" ht="10.25" customHeight="1" x14ac:dyDescent="0.15"/>
    <row r="457" ht="10.25" customHeight="1" x14ac:dyDescent="0.15"/>
    <row r="458" ht="10.25" customHeight="1" x14ac:dyDescent="0.15"/>
    <row r="459" ht="10.25" customHeight="1" x14ac:dyDescent="0.15"/>
    <row r="460" ht="10.25" customHeight="1" x14ac:dyDescent="0.15"/>
    <row r="461" ht="10.25" customHeight="1" x14ac:dyDescent="0.15"/>
    <row r="462" ht="10.25" customHeight="1" x14ac:dyDescent="0.15"/>
    <row r="463" ht="10.25" customHeight="1" x14ac:dyDescent="0.15"/>
    <row r="464" ht="10.25" customHeight="1" x14ac:dyDescent="0.15"/>
    <row r="465" ht="10.25" customHeight="1" x14ac:dyDescent="0.15"/>
    <row r="466" ht="10.25" customHeight="1" x14ac:dyDescent="0.15"/>
    <row r="467" ht="10.25" customHeight="1" x14ac:dyDescent="0.15"/>
    <row r="468" ht="10.25" customHeight="1" x14ac:dyDescent="0.15"/>
    <row r="469" ht="10.25" customHeight="1" x14ac:dyDescent="0.15"/>
    <row r="470" ht="10.25" customHeight="1" x14ac:dyDescent="0.15"/>
    <row r="471" ht="10.25" customHeight="1" x14ac:dyDescent="0.15"/>
    <row r="472" ht="10.25" customHeight="1" x14ac:dyDescent="0.15"/>
    <row r="473" ht="10.25" customHeight="1" x14ac:dyDescent="0.15"/>
    <row r="474" ht="10.25" customHeight="1" x14ac:dyDescent="0.15"/>
    <row r="475" ht="10.25" customHeight="1" x14ac:dyDescent="0.15"/>
    <row r="476" ht="10.25" customHeight="1" x14ac:dyDescent="0.15"/>
    <row r="477" ht="10.25" customHeight="1" x14ac:dyDescent="0.15"/>
    <row r="478" ht="10.25" customHeight="1" x14ac:dyDescent="0.15"/>
    <row r="479" ht="10.25" customHeight="1" x14ac:dyDescent="0.15"/>
    <row r="480" ht="10.25" customHeight="1" x14ac:dyDescent="0.15"/>
    <row r="481" ht="10.25" customHeight="1" x14ac:dyDescent="0.15"/>
    <row r="482" ht="10.25" customHeight="1" x14ac:dyDescent="0.15"/>
    <row r="483" ht="10.25" customHeight="1" x14ac:dyDescent="0.15"/>
    <row r="484" ht="10.25" customHeight="1" x14ac:dyDescent="0.15"/>
    <row r="485" ht="10.25" customHeight="1" x14ac:dyDescent="0.15"/>
    <row r="486" ht="10.25" customHeight="1" x14ac:dyDescent="0.15"/>
    <row r="487" ht="10.25" customHeight="1" x14ac:dyDescent="0.15"/>
    <row r="488" ht="10.25" customHeight="1" x14ac:dyDescent="0.15"/>
    <row r="489" ht="10.25" customHeight="1" x14ac:dyDescent="0.15"/>
    <row r="490" ht="10.25" customHeight="1" x14ac:dyDescent="0.15"/>
    <row r="491" ht="10.25" customHeight="1" x14ac:dyDescent="0.15"/>
    <row r="492" ht="10.25" customHeight="1" x14ac:dyDescent="0.15"/>
    <row r="493" ht="10.25" customHeight="1" x14ac:dyDescent="0.15"/>
    <row r="494" ht="10.25" customHeight="1" x14ac:dyDescent="0.15"/>
    <row r="495" ht="10.25" customHeight="1" x14ac:dyDescent="0.15"/>
    <row r="496" ht="10.25" customHeight="1" x14ac:dyDescent="0.15"/>
    <row r="497" ht="10.25" customHeight="1" x14ac:dyDescent="0.15"/>
    <row r="498" ht="10.25" customHeight="1" x14ac:dyDescent="0.15"/>
    <row r="499" ht="10.25" customHeight="1" x14ac:dyDescent="0.15"/>
    <row r="500" ht="10.25" customHeight="1" x14ac:dyDescent="0.15"/>
    <row r="501" ht="10.25" customHeight="1" x14ac:dyDescent="0.15"/>
    <row r="502" ht="10.25" customHeight="1" x14ac:dyDescent="0.15"/>
    <row r="503" ht="10.25" customHeight="1" x14ac:dyDescent="0.15"/>
    <row r="504" ht="10.25" customHeight="1" x14ac:dyDescent="0.15"/>
    <row r="505" ht="10.25" customHeight="1" x14ac:dyDescent="0.15"/>
    <row r="506" ht="10.25" customHeight="1" x14ac:dyDescent="0.15"/>
    <row r="507" ht="10.25" customHeight="1" x14ac:dyDescent="0.15"/>
    <row r="508" ht="10.25" customHeight="1" x14ac:dyDescent="0.15"/>
    <row r="509" ht="10.25" customHeight="1" x14ac:dyDescent="0.15"/>
    <row r="510" ht="10.25" customHeight="1" x14ac:dyDescent="0.15"/>
    <row r="511" ht="10.25" customHeight="1" x14ac:dyDescent="0.15"/>
    <row r="512" ht="10.25" customHeight="1" x14ac:dyDescent="0.15"/>
    <row r="513" ht="10.25" customHeight="1" x14ac:dyDescent="0.15"/>
    <row r="514" ht="10.25" customHeight="1" x14ac:dyDescent="0.15"/>
    <row r="515" ht="10.25" customHeight="1" x14ac:dyDescent="0.15"/>
    <row r="516" ht="10.25" customHeight="1" x14ac:dyDescent="0.15"/>
    <row r="517" ht="10.25" customHeight="1" x14ac:dyDescent="0.15"/>
    <row r="518" ht="10.25" customHeight="1" x14ac:dyDescent="0.15"/>
    <row r="519" ht="10.25" customHeight="1" x14ac:dyDescent="0.15"/>
    <row r="520" ht="10.25" customHeight="1" x14ac:dyDescent="0.15"/>
    <row r="521" ht="10.25" customHeight="1" x14ac:dyDescent="0.15"/>
    <row r="522" ht="10.25" customHeight="1" x14ac:dyDescent="0.15"/>
    <row r="523" ht="10.25" customHeight="1" x14ac:dyDescent="0.15"/>
    <row r="524" ht="10.25" customHeight="1" x14ac:dyDescent="0.15"/>
    <row r="525" ht="10.25" customHeight="1" x14ac:dyDescent="0.15"/>
    <row r="526" ht="10.25" customHeight="1" x14ac:dyDescent="0.15"/>
    <row r="527" ht="10.25" customHeight="1" x14ac:dyDescent="0.15"/>
    <row r="528" ht="10.25" customHeight="1" x14ac:dyDescent="0.15"/>
    <row r="529" ht="10.25" customHeight="1" x14ac:dyDescent="0.15"/>
    <row r="530" ht="10.25" customHeight="1" x14ac:dyDescent="0.15"/>
    <row r="531" ht="10.25" customHeight="1" x14ac:dyDescent="0.15"/>
    <row r="532" ht="10.25" customHeight="1" x14ac:dyDescent="0.15"/>
    <row r="533" ht="10.25" customHeight="1" x14ac:dyDescent="0.15"/>
    <row r="534" ht="10.25" customHeight="1" x14ac:dyDescent="0.15"/>
    <row r="535" ht="10.25" customHeight="1" x14ac:dyDescent="0.15"/>
    <row r="536" ht="10.25" customHeight="1" x14ac:dyDescent="0.15"/>
    <row r="537" ht="10.25" customHeight="1" x14ac:dyDescent="0.15"/>
    <row r="538" ht="10.25" customHeight="1" x14ac:dyDescent="0.15"/>
    <row r="539" ht="10.25" customHeight="1" x14ac:dyDescent="0.15"/>
    <row r="540" ht="10.25" customHeight="1" x14ac:dyDescent="0.15"/>
    <row r="541" ht="10.25" customHeight="1" x14ac:dyDescent="0.15"/>
    <row r="542" ht="10.25" customHeight="1" x14ac:dyDescent="0.15"/>
    <row r="543" ht="10.25" customHeight="1" x14ac:dyDescent="0.15"/>
    <row r="544" ht="10.25" customHeight="1" x14ac:dyDescent="0.15"/>
    <row r="545" ht="10.25" customHeight="1" x14ac:dyDescent="0.15"/>
    <row r="546" ht="10.25" customHeight="1" x14ac:dyDescent="0.15"/>
    <row r="547" ht="10.25" customHeight="1" x14ac:dyDescent="0.15"/>
    <row r="548" ht="10.25" customHeight="1" x14ac:dyDescent="0.15"/>
    <row r="549" ht="10.25" customHeight="1" x14ac:dyDescent="0.15"/>
    <row r="550" ht="10.25" customHeight="1" x14ac:dyDescent="0.15"/>
    <row r="551" ht="10.25" customHeight="1" x14ac:dyDescent="0.15"/>
    <row r="552" ht="10.25" customHeight="1" x14ac:dyDescent="0.15"/>
    <row r="553" ht="10.25" customHeight="1" x14ac:dyDescent="0.15"/>
    <row r="554" ht="10.25" customHeight="1" x14ac:dyDescent="0.15"/>
    <row r="555" ht="10.25" customHeight="1" x14ac:dyDescent="0.15"/>
    <row r="556" ht="10.25" customHeight="1" x14ac:dyDescent="0.15"/>
    <row r="557" ht="10.25" customHeight="1" x14ac:dyDescent="0.15"/>
    <row r="558" ht="10.25" customHeight="1" x14ac:dyDescent="0.15"/>
    <row r="559" ht="10.25" customHeight="1" x14ac:dyDescent="0.15"/>
    <row r="560" ht="10.25" customHeight="1" x14ac:dyDescent="0.15"/>
    <row r="561" ht="10.25" customHeight="1" x14ac:dyDescent="0.15"/>
    <row r="562" ht="10.25" customHeight="1" x14ac:dyDescent="0.15"/>
    <row r="563" ht="10.25" customHeight="1" x14ac:dyDescent="0.15"/>
    <row r="564" ht="10.25" customHeight="1" x14ac:dyDescent="0.15"/>
    <row r="565" ht="10.25" customHeight="1" x14ac:dyDescent="0.15"/>
    <row r="566" ht="10.25" customHeight="1" x14ac:dyDescent="0.15"/>
    <row r="567" ht="10.25" customHeight="1" x14ac:dyDescent="0.15"/>
    <row r="568" ht="10.25" customHeight="1" x14ac:dyDescent="0.15"/>
    <row r="569" ht="10.25" customHeight="1" x14ac:dyDescent="0.15"/>
    <row r="570" ht="10.25" customHeight="1" x14ac:dyDescent="0.15"/>
    <row r="571" ht="10.25" customHeight="1" x14ac:dyDescent="0.15"/>
    <row r="572" ht="10.25" customHeight="1" x14ac:dyDescent="0.15"/>
    <row r="573" ht="10.25" customHeight="1" x14ac:dyDescent="0.15"/>
    <row r="574" ht="10.25" customHeight="1" x14ac:dyDescent="0.15"/>
    <row r="575" ht="10.25" customHeight="1" x14ac:dyDescent="0.15"/>
    <row r="576" ht="10.25" customHeight="1" x14ac:dyDescent="0.15"/>
    <row r="577" ht="10.25" customHeight="1" x14ac:dyDescent="0.15"/>
    <row r="578" ht="10.25" customHeight="1" x14ac:dyDescent="0.15"/>
    <row r="579" ht="10.25" customHeight="1" x14ac:dyDescent="0.15"/>
    <row r="580" ht="10.25" customHeight="1" x14ac:dyDescent="0.15"/>
    <row r="581" ht="10.25" customHeight="1" x14ac:dyDescent="0.15"/>
    <row r="582" ht="10.25" customHeight="1" x14ac:dyDescent="0.15"/>
    <row r="583" ht="10.25" customHeight="1" x14ac:dyDescent="0.15"/>
    <row r="584" ht="10.25" customHeight="1" x14ac:dyDescent="0.15"/>
    <row r="585" ht="10.25" customHeight="1" x14ac:dyDescent="0.15"/>
    <row r="586" ht="10.25" customHeight="1" x14ac:dyDescent="0.15"/>
    <row r="587" ht="10.25" customHeight="1" x14ac:dyDescent="0.15"/>
    <row r="588" ht="10.25" customHeight="1" x14ac:dyDescent="0.15"/>
    <row r="589" ht="10.25" customHeight="1" x14ac:dyDescent="0.15"/>
    <row r="590" ht="10.25" customHeight="1" x14ac:dyDescent="0.15"/>
    <row r="591" ht="10.25" customHeight="1" x14ac:dyDescent="0.15"/>
    <row r="592" ht="10.25" customHeight="1" x14ac:dyDescent="0.15"/>
    <row r="593" ht="10.25" customHeight="1" x14ac:dyDescent="0.15"/>
    <row r="594" ht="10.25" customHeight="1" x14ac:dyDescent="0.15"/>
    <row r="595" ht="10.25" customHeight="1" x14ac:dyDescent="0.15"/>
    <row r="596" ht="10.25" customHeight="1" x14ac:dyDescent="0.15"/>
    <row r="597" ht="10.25" customHeight="1" x14ac:dyDescent="0.15"/>
    <row r="598" ht="10.25" customHeight="1" x14ac:dyDescent="0.15"/>
    <row r="599" ht="10.25" customHeight="1" x14ac:dyDescent="0.15"/>
    <row r="600" ht="10.25" customHeight="1" x14ac:dyDescent="0.15"/>
    <row r="601" ht="10.25" customHeight="1" x14ac:dyDescent="0.15"/>
    <row r="602" ht="10.25" customHeight="1" x14ac:dyDescent="0.15"/>
    <row r="603" ht="10.25" customHeight="1" x14ac:dyDescent="0.15"/>
    <row r="604" ht="10.25" customHeight="1" x14ac:dyDescent="0.15"/>
    <row r="605" ht="10.25" customHeight="1" x14ac:dyDescent="0.15"/>
    <row r="606" ht="10.25" customHeight="1" x14ac:dyDescent="0.15"/>
    <row r="607" ht="10.25" customHeight="1" x14ac:dyDescent="0.15"/>
    <row r="608" ht="10.25" customHeight="1" x14ac:dyDescent="0.15"/>
    <row r="609" ht="10.25" customHeight="1" x14ac:dyDescent="0.15"/>
    <row r="610" ht="10.25" customHeight="1" x14ac:dyDescent="0.15"/>
    <row r="611" ht="10.25" customHeight="1" x14ac:dyDescent="0.15"/>
    <row r="612" ht="10.25" customHeight="1" x14ac:dyDescent="0.15"/>
    <row r="613" ht="10.25" customHeight="1" x14ac:dyDescent="0.15"/>
    <row r="614" ht="10.25" customHeight="1" x14ac:dyDescent="0.15"/>
    <row r="615" ht="10.25" customHeight="1" x14ac:dyDescent="0.15"/>
    <row r="616" ht="10.25" customHeight="1" x14ac:dyDescent="0.15"/>
    <row r="617" ht="10.25" customHeight="1" x14ac:dyDescent="0.15"/>
    <row r="618" ht="10.25" customHeight="1" x14ac:dyDescent="0.15"/>
    <row r="619" ht="10.25" customHeight="1" x14ac:dyDescent="0.15"/>
    <row r="620" ht="10.25" customHeight="1" x14ac:dyDescent="0.15"/>
    <row r="621" ht="10.25" customHeight="1" x14ac:dyDescent="0.15"/>
    <row r="622" ht="10.25" customHeight="1" x14ac:dyDescent="0.15"/>
    <row r="623" ht="10.25" customHeight="1" x14ac:dyDescent="0.15"/>
    <row r="624" ht="10.25" customHeight="1" x14ac:dyDescent="0.15"/>
    <row r="625" ht="10.25" customHeight="1" x14ac:dyDescent="0.15"/>
    <row r="626" ht="10.25" customHeight="1" x14ac:dyDescent="0.15"/>
    <row r="627" ht="10.25" customHeight="1" x14ac:dyDescent="0.15"/>
    <row r="628" ht="10.25" customHeight="1" x14ac:dyDescent="0.15"/>
    <row r="629" ht="10.25" customHeight="1" x14ac:dyDescent="0.15"/>
    <row r="630" ht="10.25" customHeight="1" x14ac:dyDescent="0.15"/>
    <row r="631" ht="10.25" customHeight="1" x14ac:dyDescent="0.15"/>
    <row r="632" ht="10.25" customHeight="1" x14ac:dyDescent="0.15"/>
    <row r="633" ht="10.25" customHeight="1" x14ac:dyDescent="0.15"/>
    <row r="634" ht="10.25" customHeight="1" x14ac:dyDescent="0.15"/>
    <row r="635" ht="10.25" customHeight="1" x14ac:dyDescent="0.15"/>
    <row r="636" ht="10.25" customHeight="1" x14ac:dyDescent="0.15"/>
    <row r="637" ht="10.25" customHeight="1" x14ac:dyDescent="0.15"/>
    <row r="638" ht="10.25" customHeight="1" x14ac:dyDescent="0.15"/>
    <row r="639" ht="10.25" customHeight="1" x14ac:dyDescent="0.15"/>
    <row r="640" ht="10.25" customHeight="1" x14ac:dyDescent="0.15"/>
    <row r="641" ht="10.25" customHeight="1" x14ac:dyDescent="0.15"/>
    <row r="642" ht="10.25" customHeight="1" x14ac:dyDescent="0.15"/>
    <row r="643" ht="10.25" customHeight="1" x14ac:dyDescent="0.15"/>
    <row r="644" ht="10.25" customHeight="1" x14ac:dyDescent="0.15"/>
    <row r="645" ht="10.25" customHeight="1" x14ac:dyDescent="0.15"/>
    <row r="646" ht="10.25" customHeight="1" x14ac:dyDescent="0.15"/>
    <row r="647" ht="10.25" customHeight="1" x14ac:dyDescent="0.15"/>
    <row r="648" ht="10.25" customHeight="1" x14ac:dyDescent="0.15"/>
    <row r="649" ht="10.25" customHeight="1" x14ac:dyDescent="0.15"/>
    <row r="650" ht="10.25" customHeight="1" x14ac:dyDescent="0.15"/>
    <row r="651" ht="10.25" customHeight="1" x14ac:dyDescent="0.15"/>
    <row r="652" ht="10.25" customHeight="1" x14ac:dyDescent="0.15"/>
    <row r="653" ht="10.25" customHeight="1" x14ac:dyDescent="0.15"/>
    <row r="654" ht="10.25" customHeight="1" x14ac:dyDescent="0.15"/>
    <row r="655" ht="10.25" customHeight="1" x14ac:dyDescent="0.15"/>
    <row r="656" ht="10.25" customHeight="1" x14ac:dyDescent="0.15"/>
    <row r="657" ht="10.25" customHeight="1" x14ac:dyDescent="0.15"/>
    <row r="658" ht="10.25" customHeight="1" x14ac:dyDescent="0.15"/>
    <row r="659" ht="10.25" customHeight="1" x14ac:dyDescent="0.15"/>
    <row r="660" ht="10.25" customHeight="1" x14ac:dyDescent="0.15"/>
    <row r="661" ht="10.25" customHeight="1" x14ac:dyDescent="0.15"/>
    <row r="662" ht="10.25" customHeight="1" x14ac:dyDescent="0.15"/>
    <row r="663" ht="10.25" customHeight="1" x14ac:dyDescent="0.15"/>
    <row r="664" ht="10.25" customHeight="1" x14ac:dyDescent="0.15"/>
    <row r="665" ht="10.25" customHeight="1" x14ac:dyDescent="0.15"/>
    <row r="666" ht="10.25" customHeight="1" x14ac:dyDescent="0.15"/>
    <row r="667" ht="10.25" customHeight="1" x14ac:dyDescent="0.15"/>
    <row r="668" ht="10.25" customHeight="1" x14ac:dyDescent="0.15"/>
    <row r="669" ht="10.25" customHeight="1" x14ac:dyDescent="0.15"/>
    <row r="670" ht="10.25" customHeight="1" x14ac:dyDescent="0.15"/>
    <row r="671" ht="10.25" customHeight="1" x14ac:dyDescent="0.15"/>
    <row r="672" ht="10.25" customHeight="1" x14ac:dyDescent="0.15"/>
    <row r="673" ht="10.25" customHeight="1" x14ac:dyDescent="0.15"/>
    <row r="674" ht="10.25" customHeight="1" x14ac:dyDescent="0.15"/>
    <row r="675" ht="10.25" customHeight="1" x14ac:dyDescent="0.15"/>
    <row r="676" ht="10.25" customHeight="1" x14ac:dyDescent="0.15"/>
    <row r="677" ht="10.25" customHeight="1" x14ac:dyDescent="0.15"/>
    <row r="678" ht="10.25" customHeight="1" x14ac:dyDescent="0.15"/>
    <row r="679" ht="10.25" customHeight="1" x14ac:dyDescent="0.15"/>
    <row r="680" ht="10.25" customHeight="1" x14ac:dyDescent="0.15"/>
    <row r="681" ht="10.25" customHeight="1" x14ac:dyDescent="0.15"/>
    <row r="682" ht="10.25" customHeight="1" x14ac:dyDescent="0.15"/>
    <row r="683" ht="10.25" customHeight="1" x14ac:dyDescent="0.15"/>
    <row r="684" ht="10.25" customHeight="1" x14ac:dyDescent="0.15"/>
    <row r="685" ht="10.25" customHeight="1" x14ac:dyDescent="0.15"/>
    <row r="686" ht="10.25" customHeight="1" x14ac:dyDescent="0.15"/>
    <row r="687" ht="10.25" customHeight="1" x14ac:dyDescent="0.15"/>
    <row r="688" ht="10.25" customHeight="1" x14ac:dyDescent="0.15"/>
    <row r="689" ht="10.25" customHeight="1" x14ac:dyDescent="0.15"/>
    <row r="690" ht="10.25" customHeight="1" x14ac:dyDescent="0.15"/>
    <row r="691" ht="10.25" customHeight="1" x14ac:dyDescent="0.15"/>
    <row r="692" ht="10.25" customHeight="1" x14ac:dyDescent="0.15"/>
    <row r="693" ht="10.25" customHeight="1" x14ac:dyDescent="0.15"/>
    <row r="694" ht="10.25" customHeight="1" x14ac:dyDescent="0.15"/>
    <row r="695" ht="10.25" customHeight="1" x14ac:dyDescent="0.15"/>
    <row r="696" ht="10.25" customHeight="1" x14ac:dyDescent="0.15"/>
    <row r="697" ht="10.25" customHeight="1" x14ac:dyDescent="0.15"/>
    <row r="698" ht="10.25" customHeight="1" x14ac:dyDescent="0.15"/>
    <row r="699" ht="10.25" customHeight="1" x14ac:dyDescent="0.15"/>
    <row r="700" ht="10.25" customHeight="1" x14ac:dyDescent="0.15"/>
    <row r="701" ht="10.25" customHeight="1" x14ac:dyDescent="0.15"/>
    <row r="702" ht="10.25" customHeight="1" x14ac:dyDescent="0.15"/>
    <row r="703" ht="10.25" customHeight="1" x14ac:dyDescent="0.15"/>
    <row r="704" ht="10.25" customHeight="1" x14ac:dyDescent="0.15"/>
    <row r="705" ht="10.25" customHeight="1" x14ac:dyDescent="0.15"/>
    <row r="706" ht="10.25" customHeight="1" x14ac:dyDescent="0.15"/>
    <row r="707" ht="10.25" customHeight="1" x14ac:dyDescent="0.15"/>
    <row r="708" ht="10.25" customHeight="1" x14ac:dyDescent="0.15"/>
    <row r="709" ht="10.25" customHeight="1" x14ac:dyDescent="0.15"/>
    <row r="710" ht="10.25" customHeight="1" x14ac:dyDescent="0.15"/>
    <row r="711" ht="10.25" customHeight="1" x14ac:dyDescent="0.15"/>
    <row r="712" ht="10.25" customHeight="1" x14ac:dyDescent="0.15"/>
    <row r="713" ht="10.25" customHeight="1" x14ac:dyDescent="0.15"/>
    <row r="714" ht="10.25" customHeight="1" x14ac:dyDescent="0.15"/>
    <row r="715" ht="10.25" customHeight="1" x14ac:dyDescent="0.15"/>
    <row r="716" ht="10.25" customHeight="1" x14ac:dyDescent="0.15"/>
    <row r="717" ht="10.25" customHeight="1" x14ac:dyDescent="0.15"/>
    <row r="718" ht="10.25" customHeight="1" x14ac:dyDescent="0.15"/>
    <row r="719" ht="10.25" customHeight="1" x14ac:dyDescent="0.15"/>
  </sheetData>
  <mergeCells count="27">
    <mergeCell ref="M4:X5"/>
    <mergeCell ref="Q6:T7"/>
    <mergeCell ref="U6:X7"/>
    <mergeCell ref="Q8:Q11"/>
    <mergeCell ref="V8:V11"/>
    <mergeCell ref="R8:R11"/>
    <mergeCell ref="W8:W11"/>
    <mergeCell ref="N8:N11"/>
    <mergeCell ref="S8:S11"/>
    <mergeCell ref="M8:M10"/>
    <mergeCell ref="O6:O7"/>
    <mergeCell ref="P6:P7"/>
    <mergeCell ref="M123:X141"/>
    <mergeCell ref="X8:X11"/>
    <mergeCell ref="U8:U11"/>
    <mergeCell ref="T8:T11"/>
    <mergeCell ref="A400:H400"/>
    <mergeCell ref="A401:H401"/>
    <mergeCell ref="A4:H4"/>
    <mergeCell ref="A5:A7"/>
    <mergeCell ref="B5:D5"/>
    <mergeCell ref="E5:G5"/>
    <mergeCell ref="B6:B7"/>
    <mergeCell ref="C6:C7"/>
    <mergeCell ref="D6:D7"/>
    <mergeCell ref="F6:G6"/>
    <mergeCell ref="H6:H7"/>
  </mergeCells>
  <pageMargins left="0.75" right="0.75" top="0.5" bottom="0.6" header="0.5" footer="0.25"/>
  <pageSetup firstPageNumber="327" orientation="portrait" useFirstPageNumber="1" r:id="rId1"/>
  <headerFooter alignWithMargins="0">
    <oddFooter>&amp;C&amp;"Arial,Bold"&amp;8Energy Information Administration
2003 Commercial Buildings Energy Consumption Survey: Consumption and Expenditures Tables
Released June 2006&amp;R&amp;8&amp;P</oddFooter>
  </headerFooter>
  <rowBreaks count="6" manualBreakCount="6">
    <brk id="64" max="16383" man="1"/>
    <brk id="116" max="16383" man="1"/>
    <brk id="172" max="16383" man="1"/>
    <brk id="284" max="16383" man="1"/>
    <brk id="337" max="16383" man="1"/>
    <brk id="39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6"/>
  <sheetViews>
    <sheetView workbookViewId="0">
      <pane ySplit="6" topLeftCell="A7" activePane="bottomLeft" state="frozen"/>
      <selection activeCell="J35" sqref="J35"/>
      <selection pane="bottomLeft" activeCell="J28" sqref="J28"/>
    </sheetView>
  </sheetViews>
  <sheetFormatPr baseColWidth="10" defaultColWidth="8.83203125" defaultRowHeight="10" x14ac:dyDescent="0.15"/>
  <cols>
    <col min="1" max="1" width="24.6640625" style="105" customWidth="1"/>
    <col min="2" max="2" width="9.5" style="105" customWidth="1"/>
    <col min="3" max="3" width="10" style="105" customWidth="1"/>
    <col min="4" max="4" width="12.33203125" style="105" customWidth="1"/>
    <col min="5" max="6" width="8.83203125" style="105" customWidth="1"/>
    <col min="7" max="7" width="11.5" style="105" customWidth="1"/>
    <col min="8" max="11" width="8.83203125" style="105"/>
    <col min="12" max="12" width="19.1640625" style="105" bestFit="1" customWidth="1"/>
    <col min="13" max="13" width="11.5" style="105" bestFit="1" customWidth="1"/>
    <col min="14" max="256" width="8.83203125" style="105"/>
    <col min="257" max="257" width="24.6640625" style="105" customWidth="1"/>
    <col min="258" max="258" width="9.5" style="105" customWidth="1"/>
    <col min="259" max="259" width="10" style="105" customWidth="1"/>
    <col min="260" max="260" width="12.33203125" style="105" customWidth="1"/>
    <col min="261" max="262" width="8.83203125" style="105" customWidth="1"/>
    <col min="263" max="263" width="11.5" style="105" customWidth="1"/>
    <col min="264" max="512" width="8.83203125" style="105"/>
    <col min="513" max="513" width="24.6640625" style="105" customWidth="1"/>
    <col min="514" max="514" width="9.5" style="105" customWidth="1"/>
    <col min="515" max="515" width="10" style="105" customWidth="1"/>
    <col min="516" max="516" width="12.33203125" style="105" customWidth="1"/>
    <col min="517" max="518" width="8.83203125" style="105" customWidth="1"/>
    <col min="519" max="519" width="11.5" style="105" customWidth="1"/>
    <col min="520" max="768" width="8.83203125" style="105"/>
    <col min="769" max="769" width="24.6640625" style="105" customWidth="1"/>
    <col min="770" max="770" width="9.5" style="105" customWidth="1"/>
    <col min="771" max="771" width="10" style="105" customWidth="1"/>
    <col min="772" max="772" width="12.33203125" style="105" customWidth="1"/>
    <col min="773" max="774" width="8.83203125" style="105" customWidth="1"/>
    <col min="775" max="775" width="11.5" style="105" customWidth="1"/>
    <col min="776" max="1024" width="8.83203125" style="105"/>
    <col min="1025" max="1025" width="24.6640625" style="105" customWidth="1"/>
    <col min="1026" max="1026" width="9.5" style="105" customWidth="1"/>
    <col min="1027" max="1027" width="10" style="105" customWidth="1"/>
    <col min="1028" max="1028" width="12.33203125" style="105" customWidth="1"/>
    <col min="1029" max="1030" width="8.83203125" style="105" customWidth="1"/>
    <col min="1031" max="1031" width="11.5" style="105" customWidth="1"/>
    <col min="1032" max="1280" width="8.83203125" style="105"/>
    <col min="1281" max="1281" width="24.6640625" style="105" customWidth="1"/>
    <col min="1282" max="1282" width="9.5" style="105" customWidth="1"/>
    <col min="1283" max="1283" width="10" style="105" customWidth="1"/>
    <col min="1284" max="1284" width="12.33203125" style="105" customWidth="1"/>
    <col min="1285" max="1286" width="8.83203125" style="105" customWidth="1"/>
    <col min="1287" max="1287" width="11.5" style="105" customWidth="1"/>
    <col min="1288" max="1536" width="8.83203125" style="105"/>
    <col min="1537" max="1537" width="24.6640625" style="105" customWidth="1"/>
    <col min="1538" max="1538" width="9.5" style="105" customWidth="1"/>
    <col min="1539" max="1539" width="10" style="105" customWidth="1"/>
    <col min="1540" max="1540" width="12.33203125" style="105" customWidth="1"/>
    <col min="1541" max="1542" width="8.83203125" style="105" customWidth="1"/>
    <col min="1543" max="1543" width="11.5" style="105" customWidth="1"/>
    <col min="1544" max="1792" width="8.83203125" style="105"/>
    <col min="1793" max="1793" width="24.6640625" style="105" customWidth="1"/>
    <col min="1794" max="1794" width="9.5" style="105" customWidth="1"/>
    <col min="1795" max="1795" width="10" style="105" customWidth="1"/>
    <col min="1796" max="1796" width="12.33203125" style="105" customWidth="1"/>
    <col min="1797" max="1798" width="8.83203125" style="105" customWidth="1"/>
    <col min="1799" max="1799" width="11.5" style="105" customWidth="1"/>
    <col min="1800" max="2048" width="8.83203125" style="105"/>
    <col min="2049" max="2049" width="24.6640625" style="105" customWidth="1"/>
    <col min="2050" max="2050" width="9.5" style="105" customWidth="1"/>
    <col min="2051" max="2051" width="10" style="105" customWidth="1"/>
    <col min="2052" max="2052" width="12.33203125" style="105" customWidth="1"/>
    <col min="2053" max="2054" width="8.83203125" style="105" customWidth="1"/>
    <col min="2055" max="2055" width="11.5" style="105" customWidth="1"/>
    <col min="2056" max="2304" width="8.83203125" style="105"/>
    <col min="2305" max="2305" width="24.6640625" style="105" customWidth="1"/>
    <col min="2306" max="2306" width="9.5" style="105" customWidth="1"/>
    <col min="2307" max="2307" width="10" style="105" customWidth="1"/>
    <col min="2308" max="2308" width="12.33203125" style="105" customWidth="1"/>
    <col min="2309" max="2310" width="8.83203125" style="105" customWidth="1"/>
    <col min="2311" max="2311" width="11.5" style="105" customWidth="1"/>
    <col min="2312" max="2560" width="8.83203125" style="105"/>
    <col min="2561" max="2561" width="24.6640625" style="105" customWidth="1"/>
    <col min="2562" max="2562" width="9.5" style="105" customWidth="1"/>
    <col min="2563" max="2563" width="10" style="105" customWidth="1"/>
    <col min="2564" max="2564" width="12.33203125" style="105" customWidth="1"/>
    <col min="2565" max="2566" width="8.83203125" style="105" customWidth="1"/>
    <col min="2567" max="2567" width="11.5" style="105" customWidth="1"/>
    <col min="2568" max="2816" width="8.83203125" style="105"/>
    <col min="2817" max="2817" width="24.6640625" style="105" customWidth="1"/>
    <col min="2818" max="2818" width="9.5" style="105" customWidth="1"/>
    <col min="2819" max="2819" width="10" style="105" customWidth="1"/>
    <col min="2820" max="2820" width="12.33203125" style="105" customWidth="1"/>
    <col min="2821" max="2822" width="8.83203125" style="105" customWidth="1"/>
    <col min="2823" max="2823" width="11.5" style="105" customWidth="1"/>
    <col min="2824" max="3072" width="8.83203125" style="105"/>
    <col min="3073" max="3073" width="24.6640625" style="105" customWidth="1"/>
    <col min="3074" max="3074" width="9.5" style="105" customWidth="1"/>
    <col min="3075" max="3075" width="10" style="105" customWidth="1"/>
    <col min="3076" max="3076" width="12.33203125" style="105" customWidth="1"/>
    <col min="3077" max="3078" width="8.83203125" style="105" customWidth="1"/>
    <col min="3079" max="3079" width="11.5" style="105" customWidth="1"/>
    <col min="3080" max="3328" width="8.83203125" style="105"/>
    <col min="3329" max="3329" width="24.6640625" style="105" customWidth="1"/>
    <col min="3330" max="3330" width="9.5" style="105" customWidth="1"/>
    <col min="3331" max="3331" width="10" style="105" customWidth="1"/>
    <col min="3332" max="3332" width="12.33203125" style="105" customWidth="1"/>
    <col min="3333" max="3334" width="8.83203125" style="105" customWidth="1"/>
    <col min="3335" max="3335" width="11.5" style="105" customWidth="1"/>
    <col min="3336" max="3584" width="8.83203125" style="105"/>
    <col min="3585" max="3585" width="24.6640625" style="105" customWidth="1"/>
    <col min="3586" max="3586" width="9.5" style="105" customWidth="1"/>
    <col min="3587" max="3587" width="10" style="105" customWidth="1"/>
    <col min="3588" max="3588" width="12.33203125" style="105" customWidth="1"/>
    <col min="3589" max="3590" width="8.83203125" style="105" customWidth="1"/>
    <col min="3591" max="3591" width="11.5" style="105" customWidth="1"/>
    <col min="3592" max="3840" width="8.83203125" style="105"/>
    <col min="3841" max="3841" width="24.6640625" style="105" customWidth="1"/>
    <col min="3842" max="3842" width="9.5" style="105" customWidth="1"/>
    <col min="3843" max="3843" width="10" style="105" customWidth="1"/>
    <col min="3844" max="3844" width="12.33203125" style="105" customWidth="1"/>
    <col min="3845" max="3846" width="8.83203125" style="105" customWidth="1"/>
    <col min="3847" max="3847" width="11.5" style="105" customWidth="1"/>
    <col min="3848" max="4096" width="8.83203125" style="105"/>
    <col min="4097" max="4097" width="24.6640625" style="105" customWidth="1"/>
    <col min="4098" max="4098" width="9.5" style="105" customWidth="1"/>
    <col min="4099" max="4099" width="10" style="105" customWidth="1"/>
    <col min="4100" max="4100" width="12.33203125" style="105" customWidth="1"/>
    <col min="4101" max="4102" width="8.83203125" style="105" customWidth="1"/>
    <col min="4103" max="4103" width="11.5" style="105" customWidth="1"/>
    <col min="4104" max="4352" width="8.83203125" style="105"/>
    <col min="4353" max="4353" width="24.6640625" style="105" customWidth="1"/>
    <col min="4354" max="4354" width="9.5" style="105" customWidth="1"/>
    <col min="4355" max="4355" width="10" style="105" customWidth="1"/>
    <col min="4356" max="4356" width="12.33203125" style="105" customWidth="1"/>
    <col min="4357" max="4358" width="8.83203125" style="105" customWidth="1"/>
    <col min="4359" max="4359" width="11.5" style="105" customWidth="1"/>
    <col min="4360" max="4608" width="8.83203125" style="105"/>
    <col min="4609" max="4609" width="24.6640625" style="105" customWidth="1"/>
    <col min="4610" max="4610" width="9.5" style="105" customWidth="1"/>
    <col min="4611" max="4611" width="10" style="105" customWidth="1"/>
    <col min="4612" max="4612" width="12.33203125" style="105" customWidth="1"/>
    <col min="4613" max="4614" width="8.83203125" style="105" customWidth="1"/>
    <col min="4615" max="4615" width="11.5" style="105" customWidth="1"/>
    <col min="4616" max="4864" width="8.83203125" style="105"/>
    <col min="4865" max="4865" width="24.6640625" style="105" customWidth="1"/>
    <col min="4866" max="4866" width="9.5" style="105" customWidth="1"/>
    <col min="4867" max="4867" width="10" style="105" customWidth="1"/>
    <col min="4868" max="4868" width="12.33203125" style="105" customWidth="1"/>
    <col min="4869" max="4870" width="8.83203125" style="105" customWidth="1"/>
    <col min="4871" max="4871" width="11.5" style="105" customWidth="1"/>
    <col min="4872" max="5120" width="8.83203125" style="105"/>
    <col min="5121" max="5121" width="24.6640625" style="105" customWidth="1"/>
    <col min="5122" max="5122" width="9.5" style="105" customWidth="1"/>
    <col min="5123" max="5123" width="10" style="105" customWidth="1"/>
    <col min="5124" max="5124" width="12.33203125" style="105" customWidth="1"/>
    <col min="5125" max="5126" width="8.83203125" style="105" customWidth="1"/>
    <col min="5127" max="5127" width="11.5" style="105" customWidth="1"/>
    <col min="5128" max="5376" width="8.83203125" style="105"/>
    <col min="5377" max="5377" width="24.6640625" style="105" customWidth="1"/>
    <col min="5378" max="5378" width="9.5" style="105" customWidth="1"/>
    <col min="5379" max="5379" width="10" style="105" customWidth="1"/>
    <col min="5380" max="5380" width="12.33203125" style="105" customWidth="1"/>
    <col min="5381" max="5382" width="8.83203125" style="105" customWidth="1"/>
    <col min="5383" max="5383" width="11.5" style="105" customWidth="1"/>
    <col min="5384" max="5632" width="8.83203125" style="105"/>
    <col min="5633" max="5633" width="24.6640625" style="105" customWidth="1"/>
    <col min="5634" max="5634" width="9.5" style="105" customWidth="1"/>
    <col min="5635" max="5635" width="10" style="105" customWidth="1"/>
    <col min="5636" max="5636" width="12.33203125" style="105" customWidth="1"/>
    <col min="5637" max="5638" width="8.83203125" style="105" customWidth="1"/>
    <col min="5639" max="5639" width="11.5" style="105" customWidth="1"/>
    <col min="5640" max="5888" width="8.83203125" style="105"/>
    <col min="5889" max="5889" width="24.6640625" style="105" customWidth="1"/>
    <col min="5890" max="5890" width="9.5" style="105" customWidth="1"/>
    <col min="5891" max="5891" width="10" style="105" customWidth="1"/>
    <col min="5892" max="5892" width="12.33203125" style="105" customWidth="1"/>
    <col min="5893" max="5894" width="8.83203125" style="105" customWidth="1"/>
    <col min="5895" max="5895" width="11.5" style="105" customWidth="1"/>
    <col min="5896" max="6144" width="8.83203125" style="105"/>
    <col min="6145" max="6145" width="24.6640625" style="105" customWidth="1"/>
    <col min="6146" max="6146" width="9.5" style="105" customWidth="1"/>
    <col min="6147" max="6147" width="10" style="105" customWidth="1"/>
    <col min="6148" max="6148" width="12.33203125" style="105" customWidth="1"/>
    <col min="6149" max="6150" width="8.83203125" style="105" customWidth="1"/>
    <col min="6151" max="6151" width="11.5" style="105" customWidth="1"/>
    <col min="6152" max="6400" width="8.83203125" style="105"/>
    <col min="6401" max="6401" width="24.6640625" style="105" customWidth="1"/>
    <col min="6402" max="6402" width="9.5" style="105" customWidth="1"/>
    <col min="6403" max="6403" width="10" style="105" customWidth="1"/>
    <col min="6404" max="6404" width="12.33203125" style="105" customWidth="1"/>
    <col min="6405" max="6406" width="8.83203125" style="105" customWidth="1"/>
    <col min="6407" max="6407" width="11.5" style="105" customWidth="1"/>
    <col min="6408" max="6656" width="8.83203125" style="105"/>
    <col min="6657" max="6657" width="24.6640625" style="105" customWidth="1"/>
    <col min="6658" max="6658" width="9.5" style="105" customWidth="1"/>
    <col min="6659" max="6659" width="10" style="105" customWidth="1"/>
    <col min="6660" max="6660" width="12.33203125" style="105" customWidth="1"/>
    <col min="6661" max="6662" width="8.83203125" style="105" customWidth="1"/>
    <col min="6663" max="6663" width="11.5" style="105" customWidth="1"/>
    <col min="6664" max="6912" width="8.83203125" style="105"/>
    <col min="6913" max="6913" width="24.6640625" style="105" customWidth="1"/>
    <col min="6914" max="6914" width="9.5" style="105" customWidth="1"/>
    <col min="6915" max="6915" width="10" style="105" customWidth="1"/>
    <col min="6916" max="6916" width="12.33203125" style="105" customWidth="1"/>
    <col min="6917" max="6918" width="8.83203125" style="105" customWidth="1"/>
    <col min="6919" max="6919" width="11.5" style="105" customWidth="1"/>
    <col min="6920" max="7168" width="8.83203125" style="105"/>
    <col min="7169" max="7169" width="24.6640625" style="105" customWidth="1"/>
    <col min="7170" max="7170" width="9.5" style="105" customWidth="1"/>
    <col min="7171" max="7171" width="10" style="105" customWidth="1"/>
    <col min="7172" max="7172" width="12.33203125" style="105" customWidth="1"/>
    <col min="7173" max="7174" width="8.83203125" style="105" customWidth="1"/>
    <col min="7175" max="7175" width="11.5" style="105" customWidth="1"/>
    <col min="7176" max="7424" width="8.83203125" style="105"/>
    <col min="7425" max="7425" width="24.6640625" style="105" customWidth="1"/>
    <col min="7426" max="7426" width="9.5" style="105" customWidth="1"/>
    <col min="7427" max="7427" width="10" style="105" customWidth="1"/>
    <col min="7428" max="7428" width="12.33203125" style="105" customWidth="1"/>
    <col min="7429" max="7430" width="8.83203125" style="105" customWidth="1"/>
    <col min="7431" max="7431" width="11.5" style="105" customWidth="1"/>
    <col min="7432" max="7680" width="8.83203125" style="105"/>
    <col min="7681" max="7681" width="24.6640625" style="105" customWidth="1"/>
    <col min="7682" max="7682" width="9.5" style="105" customWidth="1"/>
    <col min="7683" max="7683" width="10" style="105" customWidth="1"/>
    <col min="7684" max="7684" width="12.33203125" style="105" customWidth="1"/>
    <col min="7685" max="7686" width="8.83203125" style="105" customWidth="1"/>
    <col min="7687" max="7687" width="11.5" style="105" customWidth="1"/>
    <col min="7688" max="7936" width="8.83203125" style="105"/>
    <col min="7937" max="7937" width="24.6640625" style="105" customWidth="1"/>
    <col min="7938" max="7938" width="9.5" style="105" customWidth="1"/>
    <col min="7939" max="7939" width="10" style="105" customWidth="1"/>
    <col min="7940" max="7940" width="12.33203125" style="105" customWidth="1"/>
    <col min="7941" max="7942" width="8.83203125" style="105" customWidth="1"/>
    <col min="7943" max="7943" width="11.5" style="105" customWidth="1"/>
    <col min="7944" max="8192" width="8.83203125" style="105"/>
    <col min="8193" max="8193" width="24.6640625" style="105" customWidth="1"/>
    <col min="8194" max="8194" width="9.5" style="105" customWidth="1"/>
    <col min="8195" max="8195" width="10" style="105" customWidth="1"/>
    <col min="8196" max="8196" width="12.33203125" style="105" customWidth="1"/>
    <col min="8197" max="8198" width="8.83203125" style="105" customWidth="1"/>
    <col min="8199" max="8199" width="11.5" style="105" customWidth="1"/>
    <col min="8200" max="8448" width="8.83203125" style="105"/>
    <col min="8449" max="8449" width="24.6640625" style="105" customWidth="1"/>
    <col min="8450" max="8450" width="9.5" style="105" customWidth="1"/>
    <col min="8451" max="8451" width="10" style="105" customWidth="1"/>
    <col min="8452" max="8452" width="12.33203125" style="105" customWidth="1"/>
    <col min="8453" max="8454" width="8.83203125" style="105" customWidth="1"/>
    <col min="8455" max="8455" width="11.5" style="105" customWidth="1"/>
    <col min="8456" max="8704" width="8.83203125" style="105"/>
    <col min="8705" max="8705" width="24.6640625" style="105" customWidth="1"/>
    <col min="8706" max="8706" width="9.5" style="105" customWidth="1"/>
    <col min="8707" max="8707" width="10" style="105" customWidth="1"/>
    <col min="8708" max="8708" width="12.33203125" style="105" customWidth="1"/>
    <col min="8709" max="8710" width="8.83203125" style="105" customWidth="1"/>
    <col min="8711" max="8711" width="11.5" style="105" customWidth="1"/>
    <col min="8712" max="8960" width="8.83203125" style="105"/>
    <col min="8961" max="8961" width="24.6640625" style="105" customWidth="1"/>
    <col min="8962" max="8962" width="9.5" style="105" customWidth="1"/>
    <col min="8963" max="8963" width="10" style="105" customWidth="1"/>
    <col min="8964" max="8964" width="12.33203125" style="105" customWidth="1"/>
    <col min="8965" max="8966" width="8.83203125" style="105" customWidth="1"/>
    <col min="8967" max="8967" width="11.5" style="105" customWidth="1"/>
    <col min="8968" max="9216" width="8.83203125" style="105"/>
    <col min="9217" max="9217" width="24.6640625" style="105" customWidth="1"/>
    <col min="9218" max="9218" width="9.5" style="105" customWidth="1"/>
    <col min="9219" max="9219" width="10" style="105" customWidth="1"/>
    <col min="9220" max="9220" width="12.33203125" style="105" customWidth="1"/>
    <col min="9221" max="9222" width="8.83203125" style="105" customWidth="1"/>
    <col min="9223" max="9223" width="11.5" style="105" customWidth="1"/>
    <col min="9224" max="9472" width="8.83203125" style="105"/>
    <col min="9473" max="9473" width="24.6640625" style="105" customWidth="1"/>
    <col min="9474" max="9474" width="9.5" style="105" customWidth="1"/>
    <col min="9475" max="9475" width="10" style="105" customWidth="1"/>
    <col min="9476" max="9476" width="12.33203125" style="105" customWidth="1"/>
    <col min="9477" max="9478" width="8.83203125" style="105" customWidth="1"/>
    <col min="9479" max="9479" width="11.5" style="105" customWidth="1"/>
    <col min="9480" max="9728" width="8.83203125" style="105"/>
    <col min="9729" max="9729" width="24.6640625" style="105" customWidth="1"/>
    <col min="9730" max="9730" width="9.5" style="105" customWidth="1"/>
    <col min="9731" max="9731" width="10" style="105" customWidth="1"/>
    <col min="9732" max="9732" width="12.33203125" style="105" customWidth="1"/>
    <col min="9733" max="9734" width="8.83203125" style="105" customWidth="1"/>
    <col min="9735" max="9735" width="11.5" style="105" customWidth="1"/>
    <col min="9736" max="9984" width="8.83203125" style="105"/>
    <col min="9985" max="9985" width="24.6640625" style="105" customWidth="1"/>
    <col min="9986" max="9986" width="9.5" style="105" customWidth="1"/>
    <col min="9987" max="9987" width="10" style="105" customWidth="1"/>
    <col min="9988" max="9988" width="12.33203125" style="105" customWidth="1"/>
    <col min="9989" max="9990" width="8.83203125" style="105" customWidth="1"/>
    <col min="9991" max="9991" width="11.5" style="105" customWidth="1"/>
    <col min="9992" max="10240" width="8.83203125" style="105"/>
    <col min="10241" max="10241" width="24.6640625" style="105" customWidth="1"/>
    <col min="10242" max="10242" width="9.5" style="105" customWidth="1"/>
    <col min="10243" max="10243" width="10" style="105" customWidth="1"/>
    <col min="10244" max="10244" width="12.33203125" style="105" customWidth="1"/>
    <col min="10245" max="10246" width="8.83203125" style="105" customWidth="1"/>
    <col min="10247" max="10247" width="11.5" style="105" customWidth="1"/>
    <col min="10248" max="10496" width="8.83203125" style="105"/>
    <col min="10497" max="10497" width="24.6640625" style="105" customWidth="1"/>
    <col min="10498" max="10498" width="9.5" style="105" customWidth="1"/>
    <col min="10499" max="10499" width="10" style="105" customWidth="1"/>
    <col min="10500" max="10500" width="12.33203125" style="105" customWidth="1"/>
    <col min="10501" max="10502" width="8.83203125" style="105" customWidth="1"/>
    <col min="10503" max="10503" width="11.5" style="105" customWidth="1"/>
    <col min="10504" max="10752" width="8.83203125" style="105"/>
    <col min="10753" max="10753" width="24.6640625" style="105" customWidth="1"/>
    <col min="10754" max="10754" width="9.5" style="105" customWidth="1"/>
    <col min="10755" max="10755" width="10" style="105" customWidth="1"/>
    <col min="10756" max="10756" width="12.33203125" style="105" customWidth="1"/>
    <col min="10757" max="10758" width="8.83203125" style="105" customWidth="1"/>
    <col min="10759" max="10759" width="11.5" style="105" customWidth="1"/>
    <col min="10760" max="11008" width="8.83203125" style="105"/>
    <col min="11009" max="11009" width="24.6640625" style="105" customWidth="1"/>
    <col min="11010" max="11010" width="9.5" style="105" customWidth="1"/>
    <col min="11011" max="11011" width="10" style="105" customWidth="1"/>
    <col min="11012" max="11012" width="12.33203125" style="105" customWidth="1"/>
    <col min="11013" max="11014" width="8.83203125" style="105" customWidth="1"/>
    <col min="11015" max="11015" width="11.5" style="105" customWidth="1"/>
    <col min="11016" max="11264" width="8.83203125" style="105"/>
    <col min="11265" max="11265" width="24.6640625" style="105" customWidth="1"/>
    <col min="11266" max="11266" width="9.5" style="105" customWidth="1"/>
    <col min="11267" max="11267" width="10" style="105" customWidth="1"/>
    <col min="11268" max="11268" width="12.33203125" style="105" customWidth="1"/>
    <col min="11269" max="11270" width="8.83203125" style="105" customWidth="1"/>
    <col min="11271" max="11271" width="11.5" style="105" customWidth="1"/>
    <col min="11272" max="11520" width="8.83203125" style="105"/>
    <col min="11521" max="11521" width="24.6640625" style="105" customWidth="1"/>
    <col min="11522" max="11522" width="9.5" style="105" customWidth="1"/>
    <col min="11523" max="11523" width="10" style="105" customWidth="1"/>
    <col min="11524" max="11524" width="12.33203125" style="105" customWidth="1"/>
    <col min="11525" max="11526" width="8.83203125" style="105" customWidth="1"/>
    <col min="11527" max="11527" width="11.5" style="105" customWidth="1"/>
    <col min="11528" max="11776" width="8.83203125" style="105"/>
    <col min="11777" max="11777" width="24.6640625" style="105" customWidth="1"/>
    <col min="11778" max="11778" width="9.5" style="105" customWidth="1"/>
    <col min="11779" max="11779" width="10" style="105" customWidth="1"/>
    <col min="11780" max="11780" width="12.33203125" style="105" customWidth="1"/>
    <col min="11781" max="11782" width="8.83203125" style="105" customWidth="1"/>
    <col min="11783" max="11783" width="11.5" style="105" customWidth="1"/>
    <col min="11784" max="12032" width="8.83203125" style="105"/>
    <col min="12033" max="12033" width="24.6640625" style="105" customWidth="1"/>
    <col min="12034" max="12034" width="9.5" style="105" customWidth="1"/>
    <col min="12035" max="12035" width="10" style="105" customWidth="1"/>
    <col min="12036" max="12036" width="12.33203125" style="105" customWidth="1"/>
    <col min="12037" max="12038" width="8.83203125" style="105" customWidth="1"/>
    <col min="12039" max="12039" width="11.5" style="105" customWidth="1"/>
    <col min="12040" max="12288" width="8.83203125" style="105"/>
    <col min="12289" max="12289" width="24.6640625" style="105" customWidth="1"/>
    <col min="12290" max="12290" width="9.5" style="105" customWidth="1"/>
    <col min="12291" max="12291" width="10" style="105" customWidth="1"/>
    <col min="12292" max="12292" width="12.33203125" style="105" customWidth="1"/>
    <col min="12293" max="12294" width="8.83203125" style="105" customWidth="1"/>
    <col min="12295" max="12295" width="11.5" style="105" customWidth="1"/>
    <col min="12296" max="12544" width="8.83203125" style="105"/>
    <col min="12545" max="12545" width="24.6640625" style="105" customWidth="1"/>
    <col min="12546" max="12546" width="9.5" style="105" customWidth="1"/>
    <col min="12547" max="12547" width="10" style="105" customWidth="1"/>
    <col min="12548" max="12548" width="12.33203125" style="105" customWidth="1"/>
    <col min="12549" max="12550" width="8.83203125" style="105" customWidth="1"/>
    <col min="12551" max="12551" width="11.5" style="105" customWidth="1"/>
    <col min="12552" max="12800" width="8.83203125" style="105"/>
    <col min="12801" max="12801" width="24.6640625" style="105" customWidth="1"/>
    <col min="12802" max="12802" width="9.5" style="105" customWidth="1"/>
    <col min="12803" max="12803" width="10" style="105" customWidth="1"/>
    <col min="12804" max="12804" width="12.33203125" style="105" customWidth="1"/>
    <col min="12805" max="12806" width="8.83203125" style="105" customWidth="1"/>
    <col min="12807" max="12807" width="11.5" style="105" customWidth="1"/>
    <col min="12808" max="13056" width="8.83203125" style="105"/>
    <col min="13057" max="13057" width="24.6640625" style="105" customWidth="1"/>
    <col min="13058" max="13058" width="9.5" style="105" customWidth="1"/>
    <col min="13059" max="13059" width="10" style="105" customWidth="1"/>
    <col min="13060" max="13060" width="12.33203125" style="105" customWidth="1"/>
    <col min="13061" max="13062" width="8.83203125" style="105" customWidth="1"/>
    <col min="13063" max="13063" width="11.5" style="105" customWidth="1"/>
    <col min="13064" max="13312" width="8.83203125" style="105"/>
    <col min="13313" max="13313" width="24.6640625" style="105" customWidth="1"/>
    <col min="13314" max="13314" width="9.5" style="105" customWidth="1"/>
    <col min="13315" max="13315" width="10" style="105" customWidth="1"/>
    <col min="13316" max="13316" width="12.33203125" style="105" customWidth="1"/>
    <col min="13317" max="13318" width="8.83203125" style="105" customWidth="1"/>
    <col min="13319" max="13319" width="11.5" style="105" customWidth="1"/>
    <col min="13320" max="13568" width="8.83203125" style="105"/>
    <col min="13569" max="13569" width="24.6640625" style="105" customWidth="1"/>
    <col min="13570" max="13570" width="9.5" style="105" customWidth="1"/>
    <col min="13571" max="13571" width="10" style="105" customWidth="1"/>
    <col min="13572" max="13572" width="12.33203125" style="105" customWidth="1"/>
    <col min="13573" max="13574" width="8.83203125" style="105" customWidth="1"/>
    <col min="13575" max="13575" width="11.5" style="105" customWidth="1"/>
    <col min="13576" max="13824" width="8.83203125" style="105"/>
    <col min="13825" max="13825" width="24.6640625" style="105" customWidth="1"/>
    <col min="13826" max="13826" width="9.5" style="105" customWidth="1"/>
    <col min="13827" max="13827" width="10" style="105" customWidth="1"/>
    <col min="13828" max="13828" width="12.33203125" style="105" customWidth="1"/>
    <col min="13829" max="13830" width="8.83203125" style="105" customWidth="1"/>
    <col min="13831" max="13831" width="11.5" style="105" customWidth="1"/>
    <col min="13832" max="14080" width="8.83203125" style="105"/>
    <col min="14081" max="14081" width="24.6640625" style="105" customWidth="1"/>
    <col min="14082" max="14082" width="9.5" style="105" customWidth="1"/>
    <col min="14083" max="14083" width="10" style="105" customWidth="1"/>
    <col min="14084" max="14084" width="12.33203125" style="105" customWidth="1"/>
    <col min="14085" max="14086" width="8.83203125" style="105" customWidth="1"/>
    <col min="14087" max="14087" width="11.5" style="105" customWidth="1"/>
    <col min="14088" max="14336" width="8.83203125" style="105"/>
    <col min="14337" max="14337" width="24.6640625" style="105" customWidth="1"/>
    <col min="14338" max="14338" width="9.5" style="105" customWidth="1"/>
    <col min="14339" max="14339" width="10" style="105" customWidth="1"/>
    <col min="14340" max="14340" width="12.33203125" style="105" customWidth="1"/>
    <col min="14341" max="14342" width="8.83203125" style="105" customWidth="1"/>
    <col min="14343" max="14343" width="11.5" style="105" customWidth="1"/>
    <col min="14344" max="14592" width="8.83203125" style="105"/>
    <col min="14593" max="14593" width="24.6640625" style="105" customWidth="1"/>
    <col min="14594" max="14594" width="9.5" style="105" customWidth="1"/>
    <col min="14595" max="14595" width="10" style="105" customWidth="1"/>
    <col min="14596" max="14596" width="12.33203125" style="105" customWidth="1"/>
    <col min="14597" max="14598" width="8.83203125" style="105" customWidth="1"/>
    <col min="14599" max="14599" width="11.5" style="105" customWidth="1"/>
    <col min="14600" max="14848" width="8.83203125" style="105"/>
    <col min="14849" max="14849" width="24.6640625" style="105" customWidth="1"/>
    <col min="14850" max="14850" width="9.5" style="105" customWidth="1"/>
    <col min="14851" max="14851" width="10" style="105" customWidth="1"/>
    <col min="14852" max="14852" width="12.33203125" style="105" customWidth="1"/>
    <col min="14853" max="14854" width="8.83203125" style="105" customWidth="1"/>
    <col min="14855" max="14855" width="11.5" style="105" customWidth="1"/>
    <col min="14856" max="15104" width="8.83203125" style="105"/>
    <col min="15105" max="15105" width="24.6640625" style="105" customWidth="1"/>
    <col min="15106" max="15106" width="9.5" style="105" customWidth="1"/>
    <col min="15107" max="15107" width="10" style="105" customWidth="1"/>
    <col min="15108" max="15108" width="12.33203125" style="105" customWidth="1"/>
    <col min="15109" max="15110" width="8.83203125" style="105" customWidth="1"/>
    <col min="15111" max="15111" width="11.5" style="105" customWidth="1"/>
    <col min="15112" max="15360" width="8.83203125" style="105"/>
    <col min="15361" max="15361" width="24.6640625" style="105" customWidth="1"/>
    <col min="15362" max="15362" width="9.5" style="105" customWidth="1"/>
    <col min="15363" max="15363" width="10" style="105" customWidth="1"/>
    <col min="15364" max="15364" width="12.33203125" style="105" customWidth="1"/>
    <col min="15365" max="15366" width="8.83203125" style="105" customWidth="1"/>
    <col min="15367" max="15367" width="11.5" style="105" customWidth="1"/>
    <col min="15368" max="15616" width="8.83203125" style="105"/>
    <col min="15617" max="15617" width="24.6640625" style="105" customWidth="1"/>
    <col min="15618" max="15618" width="9.5" style="105" customWidth="1"/>
    <col min="15619" max="15619" width="10" style="105" customWidth="1"/>
    <col min="15620" max="15620" width="12.33203125" style="105" customWidth="1"/>
    <col min="15621" max="15622" width="8.83203125" style="105" customWidth="1"/>
    <col min="15623" max="15623" width="11.5" style="105" customWidth="1"/>
    <col min="15624" max="15872" width="8.83203125" style="105"/>
    <col min="15873" max="15873" width="24.6640625" style="105" customWidth="1"/>
    <col min="15874" max="15874" width="9.5" style="105" customWidth="1"/>
    <col min="15875" max="15875" width="10" style="105" customWidth="1"/>
    <col min="15876" max="15876" width="12.33203125" style="105" customWidth="1"/>
    <col min="15877" max="15878" width="8.83203125" style="105" customWidth="1"/>
    <col min="15879" max="15879" width="11.5" style="105" customWidth="1"/>
    <col min="15880" max="16128" width="8.83203125" style="105"/>
    <col min="16129" max="16129" width="24.6640625" style="105" customWidth="1"/>
    <col min="16130" max="16130" width="9.5" style="105" customWidth="1"/>
    <col min="16131" max="16131" width="10" style="105" customWidth="1"/>
    <col min="16132" max="16132" width="12.33203125" style="105" customWidth="1"/>
    <col min="16133" max="16134" width="8.83203125" style="105" customWidth="1"/>
    <col min="16135" max="16135" width="11.5" style="105" customWidth="1"/>
    <col min="16136" max="16384" width="8.83203125" style="105"/>
  </cols>
  <sheetData>
    <row r="1" spans="1:15" ht="12" x14ac:dyDescent="0.15">
      <c r="A1" s="104" t="s">
        <v>77</v>
      </c>
      <c r="B1" s="104"/>
    </row>
    <row r="2" spans="1:15" ht="12" x14ac:dyDescent="0.15">
      <c r="A2" s="104" t="s">
        <v>78</v>
      </c>
      <c r="B2" s="104"/>
    </row>
    <row r="4" spans="1:15" s="106" customFormat="1" ht="36.75" customHeight="1" x14ac:dyDescent="0.15">
      <c r="A4" s="1332" t="s">
        <v>378</v>
      </c>
      <c r="B4" s="1333"/>
      <c r="C4" s="1333"/>
      <c r="D4" s="1333"/>
      <c r="E4" s="1333"/>
      <c r="F4" s="1333"/>
      <c r="G4" s="1333"/>
    </row>
    <row r="5" spans="1:15" s="108" customFormat="1" ht="36" customHeight="1" x14ac:dyDescent="0.15">
      <c r="A5" s="1334"/>
      <c r="B5" s="1337" t="s">
        <v>379</v>
      </c>
      <c r="C5" s="1337"/>
      <c r="D5" s="1337"/>
      <c r="E5" s="1337" t="s">
        <v>380</v>
      </c>
      <c r="F5" s="1337"/>
      <c r="G5" s="107" t="s">
        <v>381</v>
      </c>
    </row>
    <row r="6" spans="1:15" s="108" customFormat="1" ht="63" customHeight="1" x14ac:dyDescent="0.15">
      <c r="A6" s="1336"/>
      <c r="B6" s="109" t="s">
        <v>83</v>
      </c>
      <c r="C6" s="109" t="s">
        <v>84</v>
      </c>
      <c r="D6" s="109" t="s">
        <v>382</v>
      </c>
      <c r="E6" s="109" t="s">
        <v>88</v>
      </c>
      <c r="F6" s="109" t="s">
        <v>383</v>
      </c>
      <c r="G6" s="107" t="s">
        <v>384</v>
      </c>
      <c r="I6" s="108" t="s">
        <v>396</v>
      </c>
      <c r="J6" s="108" t="s">
        <v>397</v>
      </c>
    </row>
    <row r="7" spans="1:15" s="108" customFormat="1" ht="10.25" customHeight="1" x14ac:dyDescent="0.15"/>
    <row r="8" spans="1:15" s="129" customFormat="1" ht="10.25" customHeight="1" x14ac:dyDescent="0.15">
      <c r="A8" s="110" t="s">
        <v>90</v>
      </c>
      <c r="B8" s="127">
        <v>2391</v>
      </c>
      <c r="C8" s="127">
        <v>43468</v>
      </c>
      <c r="D8" s="128">
        <v>18.2</v>
      </c>
      <c r="E8" s="127">
        <v>1928</v>
      </c>
      <c r="F8" s="127">
        <v>1870</v>
      </c>
      <c r="G8" s="127">
        <v>14525</v>
      </c>
      <c r="I8" s="116">
        <f>(E8*10^12)/(C8*10^6)</f>
        <v>44354.467654366432</v>
      </c>
      <c r="J8" s="134">
        <f>I8/NGTax!$C$16</f>
        <v>4.4354467654366431E-2</v>
      </c>
    </row>
    <row r="9" spans="1:15" s="108" customFormat="1" ht="10.25" customHeight="1" x14ac:dyDescent="0.15">
      <c r="A9" s="114"/>
      <c r="B9" s="130"/>
      <c r="C9" s="130"/>
      <c r="D9" s="131"/>
      <c r="E9" s="130"/>
      <c r="F9" s="130"/>
      <c r="G9" s="130"/>
    </row>
    <row r="10" spans="1:15" ht="10.25" customHeight="1" x14ac:dyDescent="0.15">
      <c r="A10" s="115" t="s">
        <v>91</v>
      </c>
      <c r="B10" s="111"/>
      <c r="C10" s="111"/>
      <c r="D10" s="112"/>
      <c r="E10" s="111"/>
      <c r="F10" s="111"/>
      <c r="G10" s="111"/>
      <c r="H10" s="116"/>
      <c r="I10" s="116"/>
      <c r="J10" s="116"/>
      <c r="K10" s="116"/>
      <c r="L10" s="117"/>
    </row>
    <row r="11" spans="1:15" ht="10.25" customHeight="1" x14ac:dyDescent="0.15">
      <c r="A11" s="115" t="s">
        <v>92</v>
      </c>
      <c r="B11" s="111"/>
      <c r="C11" s="111"/>
      <c r="D11" s="112"/>
      <c r="E11" s="111"/>
      <c r="F11" s="111"/>
      <c r="G11" s="111"/>
      <c r="H11" s="116"/>
      <c r="I11" s="116"/>
      <c r="J11" s="116"/>
      <c r="K11" s="116"/>
      <c r="L11" s="117" t="s">
        <v>543</v>
      </c>
      <c r="M11" s="105" t="s">
        <v>544</v>
      </c>
    </row>
    <row r="12" spans="1:15" ht="10.25" customHeight="1" x14ac:dyDescent="0.15">
      <c r="A12" s="118" t="s">
        <v>93</v>
      </c>
      <c r="B12" s="111">
        <v>1110</v>
      </c>
      <c r="C12" s="111">
        <v>3084</v>
      </c>
      <c r="D12" s="112">
        <v>2.8</v>
      </c>
      <c r="E12" s="111">
        <v>250</v>
      </c>
      <c r="F12" s="111">
        <v>243</v>
      </c>
      <c r="G12" s="111">
        <v>2155</v>
      </c>
      <c r="H12" s="116"/>
      <c r="I12" s="116">
        <f>(E12*10^12)/(C12*10^6)</f>
        <v>81063.553826199743</v>
      </c>
      <c r="J12" s="134">
        <f>I12/NGTax!$C$16</f>
        <v>8.1063553826199744E-2</v>
      </c>
      <c r="K12" s="116"/>
      <c r="L12" s="116">
        <f>(E12*10^12)/1000000</f>
        <v>250000000</v>
      </c>
      <c r="M12" s="182">
        <f>(C12*10^6)</f>
        <v>3084000000</v>
      </c>
      <c r="N12" s="183">
        <f>M12/L12</f>
        <v>12.336</v>
      </c>
      <c r="O12" s="183">
        <f>L12/M12</f>
        <v>8.1063553826199744E-2</v>
      </c>
    </row>
    <row r="13" spans="1:15" ht="10.25" customHeight="1" x14ac:dyDescent="0.15">
      <c r="A13" s="118" t="s">
        <v>94</v>
      </c>
      <c r="B13" s="111">
        <v>496</v>
      </c>
      <c r="C13" s="111">
        <v>3692</v>
      </c>
      <c r="D13" s="112">
        <v>7.4</v>
      </c>
      <c r="E13" s="111">
        <v>209</v>
      </c>
      <c r="F13" s="111">
        <v>202</v>
      </c>
      <c r="G13" s="111">
        <v>1689</v>
      </c>
      <c r="H13" s="116"/>
      <c r="I13" s="116">
        <f t="shared" ref="I13:I19" si="0">(E13*10^12)/(C13*10^6)</f>
        <v>56608.884073672809</v>
      </c>
      <c r="J13" s="134">
        <f>I13/NGTax!$C$16</f>
        <v>5.6608884073672809E-2</v>
      </c>
      <c r="K13" s="116"/>
      <c r="L13" s="117"/>
      <c r="O13" s="105">
        <f>M12*O12</f>
        <v>250000000</v>
      </c>
    </row>
    <row r="14" spans="1:15" ht="10.25" customHeight="1" x14ac:dyDescent="0.15">
      <c r="A14" s="118" t="s">
        <v>95</v>
      </c>
      <c r="B14" s="111">
        <v>450</v>
      </c>
      <c r="C14" s="111">
        <v>7053</v>
      </c>
      <c r="D14" s="112">
        <v>15.7</v>
      </c>
      <c r="E14" s="111">
        <v>309</v>
      </c>
      <c r="F14" s="111">
        <v>300</v>
      </c>
      <c r="G14" s="111">
        <v>2524</v>
      </c>
      <c r="H14" s="116"/>
      <c r="I14" s="116">
        <f t="shared" si="0"/>
        <v>43811.144193960019</v>
      </c>
      <c r="J14" s="134">
        <f>I14/NGTax!$C$16</f>
        <v>4.3811144193960018E-2</v>
      </c>
      <c r="K14" s="116"/>
      <c r="L14" s="117"/>
    </row>
    <row r="15" spans="1:15" ht="10.25" customHeight="1" x14ac:dyDescent="0.15">
      <c r="A15" s="118" t="s">
        <v>96</v>
      </c>
      <c r="B15" s="111">
        <v>168</v>
      </c>
      <c r="C15" s="111">
        <v>6025</v>
      </c>
      <c r="D15" s="112">
        <v>35.799999999999997</v>
      </c>
      <c r="E15" s="111">
        <v>258</v>
      </c>
      <c r="F15" s="111">
        <v>250</v>
      </c>
      <c r="G15" s="111">
        <v>1865</v>
      </c>
      <c r="H15" s="116"/>
      <c r="I15" s="116">
        <f t="shared" si="0"/>
        <v>42821.576763485478</v>
      </c>
      <c r="J15" s="134">
        <f>I15/NGTax!$C$16</f>
        <v>4.2821576763485476E-2</v>
      </c>
      <c r="K15" s="116"/>
      <c r="L15" s="117"/>
    </row>
    <row r="16" spans="1:15" ht="10.25" customHeight="1" x14ac:dyDescent="0.15">
      <c r="A16" s="118" t="s">
        <v>97</v>
      </c>
      <c r="B16" s="111">
        <v>95</v>
      </c>
      <c r="C16" s="111">
        <v>6683</v>
      </c>
      <c r="D16" s="112">
        <v>70.599999999999994</v>
      </c>
      <c r="E16" s="111">
        <v>244</v>
      </c>
      <c r="F16" s="111">
        <v>236</v>
      </c>
      <c r="G16" s="111">
        <v>1868</v>
      </c>
      <c r="H16" s="116"/>
      <c r="I16" s="116">
        <f t="shared" si="0"/>
        <v>36510.549154571301</v>
      </c>
      <c r="J16" s="134">
        <f>I16/NGTax!$C$16</f>
        <v>3.6510549154571303E-2</v>
      </c>
      <c r="K16" s="116"/>
      <c r="L16" s="117"/>
    </row>
    <row r="17" spans="1:14" ht="10.25" customHeight="1" x14ac:dyDescent="0.15">
      <c r="A17" s="118" t="s">
        <v>98</v>
      </c>
      <c r="B17" s="111">
        <v>48</v>
      </c>
      <c r="C17" s="111">
        <v>6645</v>
      </c>
      <c r="D17" s="112">
        <v>138.4</v>
      </c>
      <c r="E17" s="111">
        <v>249</v>
      </c>
      <c r="F17" s="111">
        <v>241</v>
      </c>
      <c r="G17" s="111">
        <v>1737</v>
      </c>
      <c r="H17" s="116"/>
      <c r="I17" s="116">
        <f t="shared" si="0"/>
        <v>37471.783295711059</v>
      </c>
      <c r="J17" s="134">
        <f>I17/NGTax!$C$16</f>
        <v>3.7471783295711061E-2</v>
      </c>
      <c r="K17" s="116"/>
      <c r="L17" s="117"/>
      <c r="N17" s="105">
        <v>100000</v>
      </c>
    </row>
    <row r="18" spans="1:14" ht="10.25" customHeight="1" x14ac:dyDescent="0.15">
      <c r="A18" s="118" t="s">
        <v>99</v>
      </c>
      <c r="B18" s="111">
        <v>19</v>
      </c>
      <c r="C18" s="111">
        <v>5679</v>
      </c>
      <c r="D18" s="112">
        <v>292.60000000000002</v>
      </c>
      <c r="E18" s="111">
        <v>205</v>
      </c>
      <c r="F18" s="111">
        <v>199</v>
      </c>
      <c r="G18" s="111">
        <v>1343</v>
      </c>
      <c r="H18" s="116"/>
      <c r="I18" s="116">
        <f t="shared" si="0"/>
        <v>36097.904560662086</v>
      </c>
      <c r="J18" s="134">
        <f>I18/NGTax!$C$16</f>
        <v>3.6097904560662086E-2</v>
      </c>
      <c r="K18" s="116"/>
      <c r="L18" s="117"/>
      <c r="N18" s="105">
        <v>1500</v>
      </c>
    </row>
    <row r="19" spans="1:14" ht="10.25" customHeight="1" x14ac:dyDescent="0.15">
      <c r="A19" s="118" t="s">
        <v>100</v>
      </c>
      <c r="B19" s="111">
        <v>5</v>
      </c>
      <c r="C19" s="111">
        <v>4606</v>
      </c>
      <c r="D19" s="112">
        <v>919.5</v>
      </c>
      <c r="E19" s="111">
        <v>204</v>
      </c>
      <c r="F19" s="111">
        <v>198</v>
      </c>
      <c r="G19" s="111">
        <v>1344</v>
      </c>
      <c r="H19" s="116"/>
      <c r="I19" s="116">
        <f t="shared" si="0"/>
        <v>44290.056448111158</v>
      </c>
      <c r="J19" s="134">
        <f>I19/NGTax!$C$16</f>
        <v>4.4290056448111161E-2</v>
      </c>
      <c r="K19" s="116"/>
      <c r="L19" s="117"/>
      <c r="N19" s="105">
        <f>N18/N17</f>
        <v>1.4999999999999999E-2</v>
      </c>
    </row>
    <row r="20" spans="1:14" ht="10.25" customHeight="1" x14ac:dyDescent="0.15">
      <c r="A20" s="114"/>
      <c r="B20" s="111"/>
      <c r="C20" s="111"/>
      <c r="D20" s="112"/>
      <c r="E20" s="111"/>
      <c r="F20" s="111"/>
      <c r="G20" s="111"/>
      <c r="H20" s="116"/>
      <c r="I20" s="116">
        <f>AVERAGE(I12:I19)</f>
        <v>47334.431539546698</v>
      </c>
      <c r="J20" s="133">
        <f>AVERAGE(J12:J19)</f>
        <v>4.7334431539546709E-2</v>
      </c>
      <c r="K20" s="116"/>
      <c r="L20" s="117"/>
    </row>
    <row r="21" spans="1:14" ht="10.25" customHeight="1" x14ac:dyDescent="0.15">
      <c r="A21" s="115" t="s">
        <v>101</v>
      </c>
      <c r="B21" s="111"/>
      <c r="C21" s="111"/>
      <c r="D21" s="112"/>
      <c r="E21" s="111"/>
      <c r="F21" s="111"/>
      <c r="G21" s="111"/>
      <c r="H21" s="116"/>
      <c r="I21" s="116"/>
      <c r="J21" s="116"/>
      <c r="K21" s="116"/>
      <c r="L21" s="117"/>
    </row>
    <row r="22" spans="1:14" ht="10.25" customHeight="1" x14ac:dyDescent="0.15">
      <c r="A22" s="118" t="s">
        <v>102</v>
      </c>
      <c r="B22" s="111">
        <v>213</v>
      </c>
      <c r="C22" s="111">
        <v>7045</v>
      </c>
      <c r="D22" s="112">
        <v>33.1</v>
      </c>
      <c r="E22" s="111">
        <v>268</v>
      </c>
      <c r="F22" s="111">
        <v>260</v>
      </c>
      <c r="G22" s="111">
        <v>1889</v>
      </c>
      <c r="H22" s="116"/>
      <c r="I22" s="116">
        <f>(E22*10^12)/(C22*10^6)</f>
        <v>38041.163946061039</v>
      </c>
      <c r="J22" s="134">
        <f>I22/NGTax!$C$16</f>
        <v>3.8041163946061038E-2</v>
      </c>
      <c r="K22" s="116"/>
      <c r="L22" s="117"/>
    </row>
    <row r="23" spans="1:14" ht="10.25" customHeight="1" x14ac:dyDescent="0.15">
      <c r="A23" s="118" t="s">
        <v>103</v>
      </c>
      <c r="B23" s="111">
        <v>98</v>
      </c>
      <c r="C23" s="111">
        <v>747</v>
      </c>
      <c r="D23" s="112">
        <v>7.6</v>
      </c>
      <c r="E23" s="111">
        <v>39</v>
      </c>
      <c r="F23" s="111">
        <v>37</v>
      </c>
      <c r="G23" s="111">
        <v>332</v>
      </c>
      <c r="H23" s="116"/>
      <c r="I23" s="116">
        <f t="shared" ref="I23:I37" si="1">(E23*10^12)/(C23*10^6)</f>
        <v>52208.835341365462</v>
      </c>
      <c r="J23" s="134">
        <f>I23/NGTax!$C$16</f>
        <v>5.2208835341365459E-2</v>
      </c>
      <c r="K23" s="116"/>
      <c r="L23" s="117"/>
    </row>
    <row r="24" spans="1:14" ht="10.25" customHeight="1" x14ac:dyDescent="0.15">
      <c r="A24" s="118" t="s">
        <v>104</v>
      </c>
      <c r="B24" s="111">
        <v>226</v>
      </c>
      <c r="C24" s="111">
        <v>1396</v>
      </c>
      <c r="D24" s="112">
        <v>6.2</v>
      </c>
      <c r="E24" s="111">
        <v>203</v>
      </c>
      <c r="F24" s="111">
        <v>197</v>
      </c>
      <c r="G24" s="111">
        <v>1615</v>
      </c>
      <c r="H24" s="116"/>
      <c r="I24" s="116">
        <f t="shared" si="1"/>
        <v>145415.47277936962</v>
      </c>
      <c r="J24" s="134">
        <f>I24/NGTax!$C$16</f>
        <v>0.14541547277936961</v>
      </c>
      <c r="K24" s="116"/>
      <c r="L24" s="117"/>
    </row>
    <row r="25" spans="1:14" ht="10.25" customHeight="1" x14ac:dyDescent="0.15">
      <c r="A25" s="118" t="s">
        <v>105</v>
      </c>
      <c r="B25" s="111">
        <v>72</v>
      </c>
      <c r="C25" s="111">
        <v>2544</v>
      </c>
      <c r="D25" s="112">
        <v>35.5</v>
      </c>
      <c r="E25" s="111">
        <v>243</v>
      </c>
      <c r="F25" s="111">
        <v>235</v>
      </c>
      <c r="G25" s="111">
        <v>1538</v>
      </c>
      <c r="H25" s="116"/>
      <c r="I25" s="116">
        <f t="shared" si="1"/>
        <v>95518.867924528298</v>
      </c>
      <c r="J25" s="134">
        <f>I25/NGTax!$C$16</f>
        <v>9.5518867924528295E-2</v>
      </c>
      <c r="K25" s="116"/>
      <c r="L25" s="117"/>
    </row>
    <row r="26" spans="1:14" ht="10.25" customHeight="1" x14ac:dyDescent="0.15">
      <c r="A26" s="118" t="s">
        <v>106</v>
      </c>
      <c r="B26" s="111">
        <v>7</v>
      </c>
      <c r="C26" s="111">
        <v>1805</v>
      </c>
      <c r="D26" s="112">
        <v>257</v>
      </c>
      <c r="E26" s="111">
        <v>204</v>
      </c>
      <c r="F26" s="111">
        <v>198</v>
      </c>
      <c r="G26" s="111">
        <v>1241</v>
      </c>
      <c r="H26" s="116"/>
      <c r="I26" s="116">
        <f t="shared" si="1"/>
        <v>113019.39058171745</v>
      </c>
      <c r="J26" s="134">
        <f>I26/NGTax!$C$16</f>
        <v>0.11301939058171745</v>
      </c>
      <c r="K26" s="116"/>
      <c r="L26" s="117"/>
    </row>
    <row r="27" spans="1:14" ht="10.25" customHeight="1" x14ac:dyDescent="0.15">
      <c r="A27" s="118" t="s">
        <v>107</v>
      </c>
      <c r="B27" s="111">
        <v>65</v>
      </c>
      <c r="C27" s="111">
        <v>739</v>
      </c>
      <c r="D27" s="112">
        <v>11.4</v>
      </c>
      <c r="E27" s="111">
        <v>38</v>
      </c>
      <c r="F27" s="111">
        <v>37</v>
      </c>
      <c r="G27" s="111">
        <v>297</v>
      </c>
      <c r="H27" s="116"/>
      <c r="I27" s="116">
        <f t="shared" si="1"/>
        <v>51420.838971583224</v>
      </c>
      <c r="J27" s="134">
        <f>I27/NGTax!$C$16</f>
        <v>5.1420838971583227E-2</v>
      </c>
      <c r="K27" s="116"/>
      <c r="L27" s="117"/>
    </row>
    <row r="28" spans="1:14" ht="10.25" customHeight="1" x14ac:dyDescent="0.15">
      <c r="A28" s="118" t="s">
        <v>108</v>
      </c>
      <c r="B28" s="111">
        <v>86</v>
      </c>
      <c r="C28" s="111">
        <v>4256</v>
      </c>
      <c r="D28" s="112">
        <v>49.7</v>
      </c>
      <c r="E28" s="111">
        <v>215</v>
      </c>
      <c r="F28" s="111">
        <v>208</v>
      </c>
      <c r="G28" s="111">
        <v>1581</v>
      </c>
      <c r="H28" s="116"/>
      <c r="I28" s="116">
        <f t="shared" si="1"/>
        <v>50516.917293233084</v>
      </c>
      <c r="J28" s="134">
        <f>I28/NGTax!$C$16</f>
        <v>5.0516917293233085E-2</v>
      </c>
      <c r="K28" s="116"/>
      <c r="L28" s="117"/>
    </row>
    <row r="29" spans="1:14" ht="10.25" customHeight="1" x14ac:dyDescent="0.15">
      <c r="A29" s="118" t="s">
        <v>109</v>
      </c>
      <c r="B29" s="111">
        <v>245</v>
      </c>
      <c r="C29" s="111">
        <v>2866</v>
      </c>
      <c r="D29" s="112">
        <v>11.7</v>
      </c>
      <c r="E29" s="111">
        <v>91</v>
      </c>
      <c r="F29" s="111">
        <v>89</v>
      </c>
      <c r="G29" s="111">
        <v>719</v>
      </c>
      <c r="H29" s="116"/>
      <c r="I29" s="116">
        <f t="shared" si="1"/>
        <v>31751.570132588975</v>
      </c>
      <c r="J29" s="562">
        <f>I29/NGTax!$C$16</f>
        <v>3.1751570132588974E-2</v>
      </c>
      <c r="K29" s="116"/>
      <c r="L29" s="117"/>
    </row>
    <row r="30" spans="1:14" ht="10.25" customHeight="1" x14ac:dyDescent="0.15">
      <c r="A30" s="118" t="s">
        <v>110</v>
      </c>
      <c r="B30" s="111">
        <v>488</v>
      </c>
      <c r="C30" s="111">
        <v>8208</v>
      </c>
      <c r="D30" s="112">
        <v>16.8</v>
      </c>
      <c r="E30" s="111">
        <v>269</v>
      </c>
      <c r="F30" s="111">
        <v>261</v>
      </c>
      <c r="G30" s="111">
        <v>2201</v>
      </c>
      <c r="H30" s="116"/>
      <c r="I30" s="116">
        <f>(E30*10^12)/(C30*10^6)</f>
        <v>32772.904483430801</v>
      </c>
      <c r="J30" s="562">
        <f>I30/NGTax!$C$16</f>
        <v>3.2772904483430801E-2</v>
      </c>
      <c r="K30" s="116"/>
      <c r="L30" s="117"/>
    </row>
    <row r="31" spans="1:14" ht="10.25" customHeight="1" x14ac:dyDescent="0.15">
      <c r="A31" s="118" t="s">
        <v>111</v>
      </c>
      <c r="B31" s="111">
        <v>146</v>
      </c>
      <c r="C31" s="111">
        <v>2723</v>
      </c>
      <c r="D31" s="112">
        <v>18.600000000000001</v>
      </c>
      <c r="E31" s="111">
        <v>102</v>
      </c>
      <c r="F31" s="111">
        <v>99</v>
      </c>
      <c r="G31" s="111">
        <v>775</v>
      </c>
      <c r="H31" s="116"/>
      <c r="I31" s="116">
        <f t="shared" si="1"/>
        <v>37458.6852735953</v>
      </c>
      <c r="J31" s="134">
        <f>I31/NGTax!$C$16</f>
        <v>3.7458685273595298E-2</v>
      </c>
      <c r="K31" s="116"/>
      <c r="L31" s="117"/>
    </row>
    <row r="32" spans="1:14" ht="10.25" customHeight="1" x14ac:dyDescent="0.15">
      <c r="A32" s="118" t="s">
        <v>112</v>
      </c>
      <c r="B32" s="111">
        <v>36</v>
      </c>
      <c r="C32" s="111">
        <v>637</v>
      </c>
      <c r="D32" s="112">
        <v>17.7</v>
      </c>
      <c r="E32" s="111">
        <v>29</v>
      </c>
      <c r="F32" s="111">
        <v>28</v>
      </c>
      <c r="G32" s="111">
        <v>234</v>
      </c>
      <c r="H32" s="116"/>
      <c r="I32" s="116">
        <f t="shared" si="1"/>
        <v>45525.902668759809</v>
      </c>
      <c r="J32" s="134">
        <f>I32/NGTax!$C$16</f>
        <v>4.5525902668759811E-2</v>
      </c>
      <c r="K32" s="116"/>
      <c r="L32" s="117"/>
    </row>
    <row r="33" spans="1:12" ht="10.25" customHeight="1" x14ac:dyDescent="0.15">
      <c r="A33" s="118" t="s">
        <v>113</v>
      </c>
      <c r="B33" s="111">
        <v>220</v>
      </c>
      <c r="C33" s="111">
        <v>2629</v>
      </c>
      <c r="D33" s="112">
        <v>11.9</v>
      </c>
      <c r="E33" s="111">
        <v>82</v>
      </c>
      <c r="F33" s="111">
        <v>80</v>
      </c>
      <c r="G33" s="111">
        <v>664</v>
      </c>
      <c r="H33" s="116"/>
      <c r="I33" s="116">
        <f t="shared" si="1"/>
        <v>31190.566755420314</v>
      </c>
      <c r="J33" s="134">
        <f>I33/NGTax!$C$16</f>
        <v>3.1190566755420313E-2</v>
      </c>
      <c r="K33" s="116"/>
      <c r="L33" s="117"/>
    </row>
    <row r="34" spans="1:12" ht="10.25" customHeight="1" x14ac:dyDescent="0.15">
      <c r="A34" s="118" t="s">
        <v>114</v>
      </c>
      <c r="B34" s="111">
        <v>281</v>
      </c>
      <c r="C34" s="111">
        <v>2496</v>
      </c>
      <c r="D34" s="112">
        <v>8.9</v>
      </c>
      <c r="E34" s="111">
        <v>139</v>
      </c>
      <c r="F34" s="111">
        <v>135</v>
      </c>
      <c r="G34" s="111">
        <v>1096</v>
      </c>
      <c r="H34" s="116"/>
      <c r="I34" s="116">
        <f t="shared" si="1"/>
        <v>55689.102564102563</v>
      </c>
      <c r="J34" s="134">
        <f>I34/NGTax!$C$16</f>
        <v>5.5689102564102561E-2</v>
      </c>
      <c r="K34" s="116"/>
      <c r="L34" s="117"/>
    </row>
    <row r="35" spans="1:12" ht="10.25" customHeight="1" x14ac:dyDescent="0.15">
      <c r="A35" s="118" t="s">
        <v>115</v>
      </c>
      <c r="B35" s="111">
        <v>187</v>
      </c>
      <c r="C35" s="111">
        <v>5494</v>
      </c>
      <c r="D35" s="112">
        <v>29.4</v>
      </c>
      <c r="E35" s="111">
        <v>132</v>
      </c>
      <c r="F35" s="111">
        <v>128</v>
      </c>
      <c r="G35" s="111">
        <v>976</v>
      </c>
      <c r="H35" s="116"/>
      <c r="I35" s="116">
        <f t="shared" si="1"/>
        <v>24026.210411357846</v>
      </c>
      <c r="J35" s="134">
        <f>I35/NGTax!$C$16</f>
        <v>2.4026210411357846E-2</v>
      </c>
      <c r="K35" s="116"/>
      <c r="L35" s="117"/>
    </row>
    <row r="36" spans="1:12" ht="10.25" customHeight="1" x14ac:dyDescent="0.15">
      <c r="A36" s="118" t="s">
        <v>116</v>
      </c>
      <c r="B36" s="111">
        <v>45</v>
      </c>
      <c r="C36" s="111">
        <v>1252</v>
      </c>
      <c r="D36" s="112">
        <v>27.9</v>
      </c>
      <c r="E36" s="111">
        <v>87</v>
      </c>
      <c r="F36" s="111">
        <v>85</v>
      </c>
      <c r="G36" s="111">
        <v>684</v>
      </c>
      <c r="H36" s="116"/>
      <c r="I36" s="116">
        <f t="shared" si="1"/>
        <v>69488.817891373808</v>
      </c>
      <c r="J36" s="134">
        <f>I36/NGTax!$C$16</f>
        <v>6.9488817891373802E-2</v>
      </c>
      <c r="K36" s="116"/>
      <c r="L36" s="117"/>
    </row>
    <row r="37" spans="1:12" ht="10.25" customHeight="1" x14ac:dyDescent="0.15">
      <c r="A37" s="118" t="s">
        <v>117</v>
      </c>
      <c r="B37" s="111">
        <v>49</v>
      </c>
      <c r="C37" s="111">
        <v>1176</v>
      </c>
      <c r="D37" s="112">
        <v>24.2</v>
      </c>
      <c r="E37" s="111">
        <v>28</v>
      </c>
      <c r="F37" s="111">
        <v>27</v>
      </c>
      <c r="G37" s="111">
        <v>220</v>
      </c>
      <c r="H37" s="116"/>
      <c r="I37" s="116">
        <f t="shared" si="1"/>
        <v>23809.523809523809</v>
      </c>
      <c r="J37" s="134">
        <f>I37/NGTax!$C$16</f>
        <v>2.3809523809523808E-2</v>
      </c>
      <c r="K37" s="116"/>
      <c r="L37" s="117"/>
    </row>
    <row r="38" spans="1:12" ht="10.25" customHeight="1" x14ac:dyDescent="0.15">
      <c r="A38" s="114"/>
      <c r="B38" s="111"/>
      <c r="C38" s="111"/>
      <c r="D38" s="112"/>
      <c r="E38" s="111"/>
      <c r="F38" s="111"/>
      <c r="G38" s="111"/>
      <c r="H38" s="116"/>
      <c r="I38" s="116">
        <f>AVERAGE(I22:I25,I28:I37)</f>
        <v>52386.752948193622</v>
      </c>
      <c r="J38" s="133">
        <f>AVERAGE(J22:J25,J28:J37)</f>
        <v>5.2386752948193629E-2</v>
      </c>
      <c r="K38" s="116"/>
      <c r="L38" s="117"/>
    </row>
    <row r="39" spans="1:12" ht="10.25" customHeight="1" x14ac:dyDescent="0.15">
      <c r="A39" s="115" t="s">
        <v>118</v>
      </c>
      <c r="B39" s="111"/>
      <c r="C39" s="111"/>
      <c r="D39" s="112"/>
      <c r="E39" s="111"/>
      <c r="F39" s="111"/>
      <c r="G39" s="111"/>
      <c r="H39" s="116"/>
      <c r="I39" s="116"/>
      <c r="J39" s="116"/>
      <c r="K39" s="116"/>
      <c r="L39" s="117"/>
    </row>
    <row r="40" spans="1:12" ht="10.25" customHeight="1" x14ac:dyDescent="0.15">
      <c r="A40" s="118" t="s">
        <v>119</v>
      </c>
      <c r="B40" s="111">
        <v>200</v>
      </c>
      <c r="C40" s="111">
        <v>2759</v>
      </c>
      <c r="D40" s="112">
        <v>13.8</v>
      </c>
      <c r="E40" s="111">
        <v>143</v>
      </c>
      <c r="F40" s="111">
        <v>139</v>
      </c>
      <c r="G40" s="111">
        <v>1134</v>
      </c>
      <c r="H40" s="116"/>
      <c r="I40" s="116"/>
      <c r="J40" s="116"/>
      <c r="K40" s="116"/>
      <c r="L40" s="117"/>
    </row>
    <row r="41" spans="1:12" ht="10.25" customHeight="1" x14ac:dyDescent="0.15">
      <c r="A41" s="118" t="s">
        <v>120</v>
      </c>
      <c r="B41" s="111">
        <v>338</v>
      </c>
      <c r="C41" s="111">
        <v>4679</v>
      </c>
      <c r="D41" s="112">
        <v>13.9</v>
      </c>
      <c r="E41" s="111">
        <v>229</v>
      </c>
      <c r="F41" s="111">
        <v>223</v>
      </c>
      <c r="G41" s="111">
        <v>1708</v>
      </c>
      <c r="H41" s="116"/>
      <c r="I41" s="116"/>
      <c r="J41" s="116"/>
      <c r="K41" s="116"/>
      <c r="L41" s="117"/>
    </row>
    <row r="42" spans="1:12" ht="10.25" customHeight="1" x14ac:dyDescent="0.15">
      <c r="A42" s="118" t="s">
        <v>121</v>
      </c>
      <c r="B42" s="111">
        <v>313</v>
      </c>
      <c r="C42" s="111">
        <v>4659</v>
      </c>
      <c r="D42" s="112">
        <v>14.9</v>
      </c>
      <c r="E42" s="111">
        <v>216</v>
      </c>
      <c r="F42" s="111">
        <v>210</v>
      </c>
      <c r="G42" s="111">
        <v>1610</v>
      </c>
      <c r="H42" s="116"/>
      <c r="I42" s="116"/>
      <c r="J42" s="116"/>
      <c r="K42" s="116"/>
      <c r="L42" s="117"/>
    </row>
    <row r="43" spans="1:12" ht="10.25" customHeight="1" x14ac:dyDescent="0.15">
      <c r="A43" s="118" t="s">
        <v>122</v>
      </c>
      <c r="B43" s="111">
        <v>309</v>
      </c>
      <c r="C43" s="111">
        <v>5635</v>
      </c>
      <c r="D43" s="112">
        <v>18.2</v>
      </c>
      <c r="E43" s="111">
        <v>255</v>
      </c>
      <c r="F43" s="111">
        <v>248</v>
      </c>
      <c r="G43" s="111">
        <v>1872</v>
      </c>
      <c r="H43" s="116"/>
      <c r="I43" s="116"/>
      <c r="J43" s="116"/>
      <c r="K43" s="116"/>
      <c r="L43" s="117"/>
    </row>
    <row r="44" spans="1:12" ht="10.25" customHeight="1" x14ac:dyDescent="0.15">
      <c r="A44" s="118" t="s">
        <v>123</v>
      </c>
      <c r="B44" s="111">
        <v>391</v>
      </c>
      <c r="C44" s="111">
        <v>7659</v>
      </c>
      <c r="D44" s="112">
        <v>19.600000000000001</v>
      </c>
      <c r="E44" s="111">
        <v>351</v>
      </c>
      <c r="F44" s="111">
        <v>341</v>
      </c>
      <c r="G44" s="111">
        <v>2466</v>
      </c>
      <c r="H44" s="116"/>
      <c r="I44" s="116"/>
      <c r="J44" s="116"/>
      <c r="K44" s="116"/>
      <c r="L44" s="117"/>
    </row>
    <row r="45" spans="1:12" ht="10.25" customHeight="1" x14ac:dyDescent="0.15">
      <c r="A45" s="118" t="s">
        <v>124</v>
      </c>
      <c r="B45" s="111">
        <v>303</v>
      </c>
      <c r="C45" s="111">
        <v>6469</v>
      </c>
      <c r="D45" s="112">
        <v>21.3</v>
      </c>
      <c r="E45" s="111">
        <v>291</v>
      </c>
      <c r="F45" s="111">
        <v>282</v>
      </c>
      <c r="G45" s="111">
        <v>2270</v>
      </c>
      <c r="H45" s="116"/>
      <c r="I45" s="116"/>
      <c r="J45" s="116"/>
      <c r="K45" s="116"/>
      <c r="L45" s="117"/>
    </row>
    <row r="46" spans="1:12" ht="10.25" customHeight="1" x14ac:dyDescent="0.15">
      <c r="A46" s="118" t="s">
        <v>125</v>
      </c>
      <c r="B46" s="111">
        <v>419</v>
      </c>
      <c r="C46" s="111">
        <v>8177</v>
      </c>
      <c r="D46" s="112">
        <v>19.5</v>
      </c>
      <c r="E46" s="111">
        <v>314</v>
      </c>
      <c r="F46" s="111">
        <v>305</v>
      </c>
      <c r="G46" s="111">
        <v>2452</v>
      </c>
      <c r="H46" s="116"/>
      <c r="I46" s="116"/>
      <c r="J46" s="116"/>
      <c r="K46" s="116"/>
      <c r="L46" s="117"/>
    </row>
    <row r="47" spans="1:12" ht="10.25" customHeight="1" x14ac:dyDescent="0.15">
      <c r="A47" s="118" t="s">
        <v>126</v>
      </c>
      <c r="B47" s="111">
        <v>118</v>
      </c>
      <c r="C47" s="111">
        <v>3431</v>
      </c>
      <c r="D47" s="112">
        <v>29.1</v>
      </c>
      <c r="E47" s="111">
        <v>127</v>
      </c>
      <c r="F47" s="111">
        <v>123</v>
      </c>
      <c r="G47" s="111">
        <v>1012</v>
      </c>
      <c r="H47" s="116"/>
      <c r="I47" s="116">
        <f>AVERAGE(I31:I34,I37:I46)</f>
        <v>41010.089003265901</v>
      </c>
      <c r="J47" s="133">
        <f>AVERAGE(J31:J34,J37:J46)</f>
        <v>4.1010089003265908E-2</v>
      </c>
      <c r="K47" s="116"/>
      <c r="L47" s="117"/>
    </row>
    <row r="48" spans="1:12" ht="10.25" customHeight="1" x14ac:dyDescent="0.15">
      <c r="A48" s="114"/>
      <c r="B48" s="111"/>
      <c r="C48" s="111"/>
      <c r="D48" s="112"/>
      <c r="E48" s="111"/>
      <c r="F48" s="111"/>
      <c r="G48" s="111"/>
      <c r="H48" s="116"/>
      <c r="I48" s="116"/>
      <c r="J48" s="116"/>
      <c r="K48" s="116"/>
      <c r="L48" s="117"/>
    </row>
    <row r="49" spans="1:12" ht="10.25" customHeight="1" x14ac:dyDescent="0.15">
      <c r="A49" s="115" t="s">
        <v>127</v>
      </c>
      <c r="B49" s="111"/>
      <c r="C49" s="111"/>
      <c r="D49" s="112"/>
      <c r="E49" s="111"/>
      <c r="F49" s="111"/>
      <c r="G49" s="111"/>
      <c r="H49" s="116"/>
      <c r="I49" s="116"/>
      <c r="J49" s="116"/>
      <c r="K49" s="116"/>
      <c r="L49" s="117"/>
    </row>
    <row r="50" spans="1:12" ht="10.25" customHeight="1" x14ac:dyDescent="0.15">
      <c r="A50" s="118" t="s">
        <v>128</v>
      </c>
      <c r="B50" s="111">
        <v>397</v>
      </c>
      <c r="C50" s="111">
        <v>9181</v>
      </c>
      <c r="D50" s="112">
        <v>23.1</v>
      </c>
      <c r="E50" s="111">
        <v>428</v>
      </c>
      <c r="F50" s="111">
        <v>415</v>
      </c>
      <c r="G50" s="111">
        <v>3553</v>
      </c>
      <c r="H50" s="116"/>
      <c r="I50" s="116"/>
      <c r="J50" s="116"/>
      <c r="K50" s="116"/>
      <c r="L50" s="117"/>
    </row>
    <row r="51" spans="1:12" ht="10.25" customHeight="1" x14ac:dyDescent="0.15">
      <c r="A51" s="118" t="s">
        <v>129</v>
      </c>
      <c r="B51" s="111">
        <v>74</v>
      </c>
      <c r="C51" s="111">
        <v>1465</v>
      </c>
      <c r="D51" s="112">
        <v>19.8</v>
      </c>
      <c r="E51" s="111">
        <v>75</v>
      </c>
      <c r="F51" s="111">
        <v>73</v>
      </c>
      <c r="G51" s="111">
        <v>673</v>
      </c>
      <c r="H51" s="116"/>
      <c r="I51" s="116"/>
      <c r="J51" s="116"/>
      <c r="K51" s="116"/>
      <c r="L51" s="117"/>
    </row>
    <row r="52" spans="1:12" ht="10.25" customHeight="1" x14ac:dyDescent="0.15">
      <c r="A52" s="118" t="s">
        <v>130</v>
      </c>
      <c r="B52" s="111">
        <v>323</v>
      </c>
      <c r="C52" s="111">
        <v>7716</v>
      </c>
      <c r="D52" s="112">
        <v>23.9</v>
      </c>
      <c r="E52" s="111">
        <v>353</v>
      </c>
      <c r="F52" s="111">
        <v>343</v>
      </c>
      <c r="G52" s="111">
        <v>2880</v>
      </c>
      <c r="H52" s="116"/>
      <c r="I52" s="116"/>
      <c r="J52" s="116"/>
      <c r="K52" s="116"/>
      <c r="L52" s="117"/>
    </row>
    <row r="53" spans="1:12" ht="10.25" customHeight="1" x14ac:dyDescent="0.15">
      <c r="A53" s="118" t="s">
        <v>131</v>
      </c>
      <c r="B53" s="111">
        <v>802</v>
      </c>
      <c r="C53" s="111">
        <v>13163</v>
      </c>
      <c r="D53" s="112">
        <v>16.399999999999999</v>
      </c>
      <c r="E53" s="111">
        <v>705</v>
      </c>
      <c r="F53" s="111">
        <v>683</v>
      </c>
      <c r="G53" s="111">
        <v>4844</v>
      </c>
      <c r="H53" s="116"/>
      <c r="I53" s="116"/>
      <c r="J53" s="116"/>
      <c r="K53" s="116"/>
      <c r="L53" s="117"/>
    </row>
    <row r="54" spans="1:12" ht="10.25" customHeight="1" x14ac:dyDescent="0.15">
      <c r="A54" s="118" t="s">
        <v>132</v>
      </c>
      <c r="B54" s="111">
        <v>546</v>
      </c>
      <c r="C54" s="111">
        <v>9570</v>
      </c>
      <c r="D54" s="112">
        <v>17.5</v>
      </c>
      <c r="E54" s="111">
        <v>528</v>
      </c>
      <c r="F54" s="111">
        <v>512</v>
      </c>
      <c r="G54" s="111">
        <v>3649</v>
      </c>
      <c r="H54" s="116"/>
      <c r="I54" s="116"/>
      <c r="J54" s="116"/>
      <c r="K54" s="116"/>
      <c r="L54" s="117"/>
    </row>
    <row r="55" spans="1:12" ht="10.25" customHeight="1" x14ac:dyDescent="0.15">
      <c r="A55" s="118" t="s">
        <v>133</v>
      </c>
      <c r="B55" s="111">
        <v>255</v>
      </c>
      <c r="C55" s="111">
        <v>3593</v>
      </c>
      <c r="D55" s="112">
        <v>14.1</v>
      </c>
      <c r="E55" s="111">
        <v>177</v>
      </c>
      <c r="F55" s="111">
        <v>171</v>
      </c>
      <c r="G55" s="111">
        <v>1195</v>
      </c>
      <c r="H55" s="116"/>
      <c r="I55" s="116"/>
      <c r="J55" s="116"/>
      <c r="K55" s="116"/>
      <c r="L55" s="117"/>
    </row>
    <row r="56" spans="1:12" ht="10.25" customHeight="1" x14ac:dyDescent="0.15">
      <c r="A56" s="118" t="s">
        <v>134</v>
      </c>
      <c r="B56" s="111">
        <v>714</v>
      </c>
      <c r="C56" s="111">
        <v>13311</v>
      </c>
      <c r="D56" s="112">
        <v>18.600000000000001</v>
      </c>
      <c r="E56" s="111">
        <v>474</v>
      </c>
      <c r="F56" s="111">
        <v>460</v>
      </c>
      <c r="G56" s="111">
        <v>3866</v>
      </c>
      <c r="H56" s="116"/>
      <c r="I56" s="116"/>
      <c r="J56" s="116"/>
      <c r="K56" s="116"/>
      <c r="L56" s="117"/>
    </row>
    <row r="57" spans="1:12" ht="10.25" customHeight="1" x14ac:dyDescent="0.15">
      <c r="A57" s="118" t="s">
        <v>135</v>
      </c>
      <c r="B57" s="111">
        <v>308</v>
      </c>
      <c r="C57" s="111">
        <v>6326</v>
      </c>
      <c r="D57" s="112">
        <v>20.5</v>
      </c>
      <c r="E57" s="111">
        <v>217</v>
      </c>
      <c r="F57" s="111">
        <v>210</v>
      </c>
      <c r="G57" s="111">
        <v>1934</v>
      </c>
      <c r="H57" s="116"/>
      <c r="I57" s="116"/>
      <c r="J57" s="116"/>
      <c r="K57" s="116"/>
      <c r="L57" s="117"/>
    </row>
    <row r="58" spans="1:12" ht="10.25" customHeight="1" x14ac:dyDescent="0.15">
      <c r="A58" s="118" t="s">
        <v>136</v>
      </c>
      <c r="B58" s="111">
        <v>155</v>
      </c>
      <c r="C58" s="111">
        <v>2281</v>
      </c>
      <c r="D58" s="112">
        <v>14.7</v>
      </c>
      <c r="E58" s="111">
        <v>102</v>
      </c>
      <c r="F58" s="111">
        <v>99</v>
      </c>
      <c r="G58" s="111">
        <v>817</v>
      </c>
      <c r="H58" s="116"/>
      <c r="I58" s="116"/>
      <c r="J58" s="116"/>
      <c r="K58" s="116"/>
      <c r="L58" s="117"/>
    </row>
    <row r="59" spans="1:12" ht="10.25" customHeight="1" x14ac:dyDescent="0.15">
      <c r="A59" s="118" t="s">
        <v>137</v>
      </c>
      <c r="B59" s="111">
        <v>251</v>
      </c>
      <c r="C59" s="111">
        <v>4704</v>
      </c>
      <c r="D59" s="112">
        <v>18.7</v>
      </c>
      <c r="E59" s="111">
        <v>156</v>
      </c>
      <c r="F59" s="111">
        <v>151</v>
      </c>
      <c r="G59" s="111">
        <v>1115</v>
      </c>
      <c r="H59" s="116"/>
      <c r="I59" s="116"/>
      <c r="J59" s="116"/>
      <c r="K59" s="116"/>
      <c r="L59" s="117"/>
    </row>
    <row r="60" spans="1:12" ht="10.25" customHeight="1" x14ac:dyDescent="0.15">
      <c r="A60" s="118" t="s">
        <v>138</v>
      </c>
      <c r="B60" s="111">
        <v>479</v>
      </c>
      <c r="C60" s="111">
        <v>7813</v>
      </c>
      <c r="D60" s="112">
        <v>16.3</v>
      </c>
      <c r="E60" s="111">
        <v>320</v>
      </c>
      <c r="F60" s="111">
        <v>311</v>
      </c>
      <c r="G60" s="111">
        <v>2261</v>
      </c>
      <c r="H60" s="116"/>
      <c r="I60" s="116">
        <f t="shared" ref="I60:J62" si="2">AVERAGE(I44:I47,I50:I59)</f>
        <v>41010.089003265901</v>
      </c>
      <c r="J60" s="133">
        <f t="shared" si="2"/>
        <v>4.1010089003265908E-2</v>
      </c>
      <c r="K60" s="116"/>
      <c r="L60" s="117"/>
    </row>
    <row r="61" spans="1:12" ht="10.25" customHeight="1" x14ac:dyDescent="0.15">
      <c r="A61" s="118" t="s">
        <v>139</v>
      </c>
      <c r="B61" s="111">
        <v>190</v>
      </c>
      <c r="C61" s="111">
        <v>2797</v>
      </c>
      <c r="D61" s="112">
        <v>14.7</v>
      </c>
      <c r="E61" s="111">
        <v>167</v>
      </c>
      <c r="F61" s="111">
        <v>162</v>
      </c>
      <c r="G61" s="111">
        <v>1089</v>
      </c>
      <c r="H61" s="116"/>
      <c r="I61" s="116">
        <f t="shared" si="2"/>
        <v>41010.089003265901</v>
      </c>
      <c r="J61" s="133">
        <f t="shared" si="2"/>
        <v>4.1010089003265908E-2</v>
      </c>
      <c r="K61" s="116"/>
      <c r="L61" s="117"/>
    </row>
    <row r="62" spans="1:12" ht="10.25" customHeight="1" x14ac:dyDescent="0.15">
      <c r="A62" s="118" t="s">
        <v>140</v>
      </c>
      <c r="B62" s="111">
        <v>289</v>
      </c>
      <c r="C62" s="111">
        <v>5016</v>
      </c>
      <c r="D62" s="112">
        <v>17.399999999999999</v>
      </c>
      <c r="E62" s="111">
        <v>153</v>
      </c>
      <c r="F62" s="111">
        <v>149</v>
      </c>
      <c r="G62" s="111">
        <v>1172</v>
      </c>
      <c r="H62" s="116"/>
      <c r="I62" s="116">
        <f t="shared" si="2"/>
        <v>41010.089003265901</v>
      </c>
      <c r="J62" s="133">
        <f t="shared" si="2"/>
        <v>4.1010089003265908E-2</v>
      </c>
      <c r="K62" s="116"/>
      <c r="L62" s="117"/>
    </row>
    <row r="63" spans="1:12" ht="10.25" customHeight="1" x14ac:dyDescent="0.15">
      <c r="A63" s="114"/>
      <c r="B63" s="111"/>
      <c r="C63" s="111"/>
      <c r="D63" s="112"/>
      <c r="E63" s="111"/>
      <c r="F63" s="111"/>
      <c r="G63" s="111"/>
      <c r="H63" s="116"/>
      <c r="I63" s="116"/>
      <c r="J63" s="116"/>
      <c r="K63" s="116"/>
      <c r="L63" s="117"/>
    </row>
    <row r="64" spans="1:12" ht="10.25" customHeight="1" x14ac:dyDescent="0.15">
      <c r="A64" s="115" t="s">
        <v>141</v>
      </c>
      <c r="B64" s="111"/>
      <c r="C64" s="111"/>
      <c r="D64" s="112"/>
      <c r="E64" s="111"/>
      <c r="F64" s="111"/>
      <c r="G64" s="111"/>
      <c r="H64" s="116"/>
      <c r="I64" s="116"/>
      <c r="J64" s="116"/>
      <c r="K64" s="116"/>
      <c r="L64" s="117"/>
    </row>
    <row r="65" spans="1:12" ht="10.25" customHeight="1" x14ac:dyDescent="0.15">
      <c r="A65" s="114" t="s">
        <v>142</v>
      </c>
      <c r="B65" s="111"/>
      <c r="C65" s="111"/>
      <c r="D65" s="112"/>
      <c r="E65" s="111"/>
      <c r="F65" s="111"/>
      <c r="G65" s="111"/>
      <c r="H65" s="116"/>
      <c r="I65" s="116"/>
      <c r="J65" s="116"/>
      <c r="K65" s="116"/>
      <c r="L65" s="117"/>
    </row>
    <row r="66" spans="1:12" ht="10.25" customHeight="1" x14ac:dyDescent="0.15">
      <c r="A66" s="118" t="s">
        <v>143</v>
      </c>
      <c r="B66" s="111">
        <v>493</v>
      </c>
      <c r="C66" s="111">
        <v>7645</v>
      </c>
      <c r="D66" s="112">
        <v>15.5</v>
      </c>
      <c r="E66" s="111">
        <v>431</v>
      </c>
      <c r="F66" s="111">
        <v>418</v>
      </c>
      <c r="G66" s="111">
        <v>3076</v>
      </c>
      <c r="H66" s="116"/>
      <c r="I66" s="116"/>
      <c r="J66" s="116"/>
      <c r="K66" s="116"/>
      <c r="L66" s="117"/>
    </row>
    <row r="67" spans="1:12" ht="10.25" customHeight="1" x14ac:dyDescent="0.15">
      <c r="A67" s="118" t="s">
        <v>144</v>
      </c>
      <c r="B67" s="111">
        <v>718</v>
      </c>
      <c r="C67" s="111">
        <v>12850</v>
      </c>
      <c r="D67" s="112">
        <v>17.899999999999999</v>
      </c>
      <c r="E67" s="111">
        <v>679</v>
      </c>
      <c r="F67" s="111">
        <v>659</v>
      </c>
      <c r="G67" s="111">
        <v>4901</v>
      </c>
      <c r="H67" s="116"/>
      <c r="I67" s="116"/>
      <c r="J67" s="116"/>
      <c r="K67" s="116"/>
      <c r="L67" s="117"/>
    </row>
    <row r="68" spans="1:12" ht="10.25" customHeight="1" x14ac:dyDescent="0.15">
      <c r="A68" s="118" t="s">
        <v>145</v>
      </c>
      <c r="B68" s="111">
        <v>347</v>
      </c>
      <c r="C68" s="111">
        <v>8113</v>
      </c>
      <c r="D68" s="112">
        <v>23.4</v>
      </c>
      <c r="E68" s="111">
        <v>337</v>
      </c>
      <c r="F68" s="111">
        <v>327</v>
      </c>
      <c r="G68" s="111">
        <v>2702</v>
      </c>
      <c r="H68" s="116"/>
      <c r="I68" s="116"/>
      <c r="J68" s="116"/>
      <c r="K68" s="116"/>
      <c r="L68" s="117"/>
    </row>
    <row r="69" spans="1:12" ht="10.25" customHeight="1" x14ac:dyDescent="0.15">
      <c r="A69" s="118" t="s">
        <v>146</v>
      </c>
      <c r="B69" s="111">
        <v>646</v>
      </c>
      <c r="C69" s="111">
        <v>10509</v>
      </c>
      <c r="D69" s="112">
        <v>16.3</v>
      </c>
      <c r="E69" s="111">
        <v>358</v>
      </c>
      <c r="F69" s="111">
        <v>347</v>
      </c>
      <c r="G69" s="111">
        <v>2920</v>
      </c>
      <c r="H69" s="116"/>
      <c r="I69" s="116"/>
      <c r="J69" s="116"/>
      <c r="K69" s="116"/>
      <c r="L69" s="117"/>
    </row>
    <row r="70" spans="1:12" ht="10.25" customHeight="1" x14ac:dyDescent="0.15">
      <c r="A70" s="114" t="s">
        <v>147</v>
      </c>
      <c r="B70" s="111"/>
      <c r="C70" s="111"/>
      <c r="D70" s="112"/>
      <c r="E70" s="111"/>
      <c r="F70" s="111"/>
      <c r="G70" s="111"/>
      <c r="H70" s="116"/>
      <c r="I70" s="116"/>
      <c r="J70" s="116"/>
      <c r="K70" s="116"/>
      <c r="L70" s="117"/>
    </row>
    <row r="71" spans="1:12" ht="10.25" customHeight="1" x14ac:dyDescent="0.15">
      <c r="A71" s="118" t="s">
        <v>146</v>
      </c>
      <c r="B71" s="111">
        <v>187</v>
      </c>
      <c r="C71" s="111">
        <v>4350</v>
      </c>
      <c r="D71" s="112">
        <v>23.2</v>
      </c>
      <c r="E71" s="111">
        <v>122</v>
      </c>
      <c r="F71" s="111">
        <v>119</v>
      </c>
      <c r="G71" s="111">
        <v>925</v>
      </c>
      <c r="H71" s="116"/>
      <c r="I71" s="116"/>
      <c r="J71" s="116"/>
      <c r="K71" s="116"/>
      <c r="L71" s="117"/>
    </row>
    <row r="72" spans="1:12" ht="10.25" customHeight="1" x14ac:dyDescent="0.15">
      <c r="A72" s="114"/>
      <c r="B72" s="111"/>
      <c r="C72" s="111"/>
      <c r="D72" s="112"/>
      <c r="E72" s="111"/>
      <c r="F72" s="111"/>
      <c r="G72" s="111"/>
      <c r="H72" s="116"/>
      <c r="I72" s="116"/>
      <c r="J72" s="116"/>
      <c r="K72" s="116"/>
      <c r="L72" s="117"/>
    </row>
    <row r="73" spans="1:12" ht="10.25" customHeight="1" x14ac:dyDescent="0.15">
      <c r="A73" s="115" t="s">
        <v>148</v>
      </c>
      <c r="B73" s="111"/>
      <c r="C73" s="111"/>
      <c r="D73" s="112"/>
      <c r="E73" s="111"/>
      <c r="F73" s="111"/>
      <c r="G73" s="111"/>
      <c r="H73" s="116"/>
      <c r="I73" s="116"/>
      <c r="J73" s="116"/>
      <c r="K73" s="116"/>
      <c r="L73" s="117"/>
    </row>
    <row r="74" spans="1:12" ht="10.25" customHeight="1" x14ac:dyDescent="0.15">
      <c r="A74" s="118" t="s">
        <v>149</v>
      </c>
      <c r="B74" s="111">
        <v>1431</v>
      </c>
      <c r="C74" s="111">
        <v>14940</v>
      </c>
      <c r="D74" s="112">
        <v>10.4</v>
      </c>
      <c r="E74" s="111">
        <v>664</v>
      </c>
      <c r="F74" s="111">
        <v>644</v>
      </c>
      <c r="G74" s="111">
        <v>5406</v>
      </c>
      <c r="H74" s="116"/>
      <c r="I74" s="116"/>
      <c r="J74" s="116"/>
      <c r="K74" s="116"/>
      <c r="L74" s="117"/>
    </row>
    <row r="75" spans="1:12" ht="10.25" customHeight="1" x14ac:dyDescent="0.15">
      <c r="A75" s="118" t="s">
        <v>150</v>
      </c>
      <c r="B75" s="111">
        <v>617</v>
      </c>
      <c r="C75" s="111">
        <v>11441</v>
      </c>
      <c r="D75" s="112">
        <v>18.5</v>
      </c>
      <c r="E75" s="111">
        <v>491</v>
      </c>
      <c r="F75" s="111">
        <v>476</v>
      </c>
      <c r="G75" s="111">
        <v>3627</v>
      </c>
      <c r="H75" s="116"/>
      <c r="I75" s="116"/>
      <c r="J75" s="116"/>
      <c r="K75" s="116"/>
      <c r="L75" s="117"/>
    </row>
    <row r="76" spans="1:12" ht="10.25" customHeight="1" x14ac:dyDescent="0.15">
      <c r="A76" s="118" t="s">
        <v>151</v>
      </c>
      <c r="B76" s="111">
        <v>242</v>
      </c>
      <c r="C76" s="111">
        <v>5668</v>
      </c>
      <c r="D76" s="112">
        <v>23.5</v>
      </c>
      <c r="E76" s="111">
        <v>241</v>
      </c>
      <c r="F76" s="111">
        <v>234</v>
      </c>
      <c r="G76" s="111">
        <v>1816</v>
      </c>
      <c r="H76" s="116"/>
      <c r="I76" s="116"/>
      <c r="J76" s="116"/>
      <c r="K76" s="116"/>
      <c r="L76" s="117"/>
    </row>
    <row r="77" spans="1:12" ht="10.25" customHeight="1" x14ac:dyDescent="0.15">
      <c r="A77" s="118" t="s">
        <v>152</v>
      </c>
      <c r="B77" s="111">
        <v>93</v>
      </c>
      <c r="C77" s="111">
        <v>7670</v>
      </c>
      <c r="D77" s="112">
        <v>82.1</v>
      </c>
      <c r="E77" s="111">
        <v>378</v>
      </c>
      <c r="F77" s="111">
        <v>367</v>
      </c>
      <c r="G77" s="111">
        <v>2560</v>
      </c>
      <c r="H77" s="116"/>
      <c r="I77" s="116"/>
      <c r="J77" s="116"/>
      <c r="K77" s="116"/>
      <c r="L77" s="117"/>
    </row>
    <row r="78" spans="1:12" ht="10.25" customHeight="1" x14ac:dyDescent="0.15">
      <c r="A78" s="118" t="s">
        <v>153</v>
      </c>
      <c r="B78" s="111">
        <v>9</v>
      </c>
      <c r="C78" s="111">
        <v>3749</v>
      </c>
      <c r="D78" s="112">
        <v>437.6</v>
      </c>
      <c r="E78" s="111">
        <v>154</v>
      </c>
      <c r="F78" s="111">
        <v>149</v>
      </c>
      <c r="G78" s="111">
        <v>1116</v>
      </c>
      <c r="H78" s="116"/>
      <c r="I78" s="116"/>
      <c r="J78" s="116"/>
      <c r="K78" s="116"/>
      <c r="L78" s="117"/>
    </row>
    <row r="79" spans="1:12" ht="10.25" customHeight="1" x14ac:dyDescent="0.15">
      <c r="A79" s="114"/>
      <c r="B79" s="111"/>
      <c r="C79" s="111"/>
      <c r="D79" s="112"/>
      <c r="E79" s="111"/>
      <c r="F79" s="111"/>
      <c r="G79" s="111"/>
      <c r="H79" s="116"/>
      <c r="I79" s="116"/>
      <c r="J79" s="116"/>
      <c r="K79" s="116"/>
      <c r="L79" s="117"/>
    </row>
    <row r="80" spans="1:12" ht="10.25" customHeight="1" x14ac:dyDescent="0.15">
      <c r="A80" s="115" t="s">
        <v>162</v>
      </c>
      <c r="B80" s="111"/>
      <c r="C80" s="111"/>
      <c r="D80" s="112"/>
      <c r="E80" s="111"/>
      <c r="F80" s="111"/>
      <c r="G80" s="111"/>
      <c r="H80" s="116"/>
      <c r="I80" s="116"/>
      <c r="J80" s="116"/>
      <c r="K80" s="116"/>
      <c r="L80" s="117"/>
    </row>
    <row r="81" spans="1:12" ht="10.25" customHeight="1" x14ac:dyDescent="0.15">
      <c r="A81" s="118" t="s">
        <v>163</v>
      </c>
      <c r="B81" s="111">
        <v>1082</v>
      </c>
      <c r="C81" s="111">
        <v>7023</v>
      </c>
      <c r="D81" s="112">
        <v>6.5</v>
      </c>
      <c r="E81" s="111">
        <v>272</v>
      </c>
      <c r="F81" s="111">
        <v>264</v>
      </c>
      <c r="G81" s="111">
        <v>2308</v>
      </c>
      <c r="H81" s="116"/>
      <c r="I81" s="116"/>
      <c r="J81" s="116"/>
      <c r="K81" s="116"/>
      <c r="L81" s="117"/>
    </row>
    <row r="82" spans="1:12" ht="10.25" customHeight="1" x14ac:dyDescent="0.15">
      <c r="A82" s="118" t="s">
        <v>164</v>
      </c>
      <c r="B82" s="111">
        <v>474</v>
      </c>
      <c r="C82" s="111">
        <v>4084</v>
      </c>
      <c r="D82" s="112">
        <v>8.6</v>
      </c>
      <c r="E82" s="111">
        <v>198</v>
      </c>
      <c r="F82" s="111">
        <v>192</v>
      </c>
      <c r="G82" s="111">
        <v>1666</v>
      </c>
      <c r="H82" s="116"/>
      <c r="I82" s="116"/>
      <c r="J82" s="116"/>
      <c r="K82" s="116"/>
      <c r="L82" s="117"/>
    </row>
    <row r="83" spans="1:12" ht="10.25" customHeight="1" x14ac:dyDescent="0.15">
      <c r="A83" s="118" t="s">
        <v>165</v>
      </c>
      <c r="B83" s="111">
        <v>359</v>
      </c>
      <c r="C83" s="111">
        <v>5317</v>
      </c>
      <c r="D83" s="112">
        <v>14.8</v>
      </c>
      <c r="E83" s="111">
        <v>242</v>
      </c>
      <c r="F83" s="111">
        <v>235</v>
      </c>
      <c r="G83" s="111">
        <v>1841</v>
      </c>
      <c r="H83" s="116"/>
      <c r="I83" s="116"/>
      <c r="J83" s="116"/>
      <c r="K83" s="116"/>
      <c r="L83" s="117"/>
    </row>
    <row r="84" spans="1:12" ht="10.25" customHeight="1" x14ac:dyDescent="0.15">
      <c r="A84" s="118" t="s">
        <v>166</v>
      </c>
      <c r="B84" s="111">
        <v>289</v>
      </c>
      <c r="C84" s="111">
        <v>8212</v>
      </c>
      <c r="D84" s="112">
        <v>28.5</v>
      </c>
      <c r="E84" s="111">
        <v>395</v>
      </c>
      <c r="F84" s="111">
        <v>383</v>
      </c>
      <c r="G84" s="111">
        <v>2951</v>
      </c>
      <c r="H84" s="116"/>
      <c r="I84" s="116"/>
      <c r="J84" s="116"/>
      <c r="K84" s="116"/>
      <c r="L84" s="117"/>
    </row>
    <row r="85" spans="1:12" ht="10.25" customHeight="1" x14ac:dyDescent="0.15">
      <c r="A85" s="118" t="s">
        <v>167</v>
      </c>
      <c r="B85" s="111">
        <v>113</v>
      </c>
      <c r="C85" s="111">
        <v>6156</v>
      </c>
      <c r="D85" s="112">
        <v>54.7</v>
      </c>
      <c r="E85" s="111">
        <v>241</v>
      </c>
      <c r="F85" s="111">
        <v>234</v>
      </c>
      <c r="G85" s="111">
        <v>1780</v>
      </c>
      <c r="H85" s="116"/>
      <c r="I85" s="116"/>
      <c r="J85" s="116"/>
      <c r="K85" s="116"/>
      <c r="L85" s="117"/>
    </row>
    <row r="86" spans="1:12" ht="10.25" customHeight="1" x14ac:dyDescent="0.15">
      <c r="A86" s="118" t="s">
        <v>168</v>
      </c>
      <c r="B86" s="111">
        <v>52</v>
      </c>
      <c r="C86" s="111">
        <v>5127</v>
      </c>
      <c r="D86" s="112">
        <v>98.1</v>
      </c>
      <c r="E86" s="111">
        <v>235</v>
      </c>
      <c r="F86" s="111">
        <v>228</v>
      </c>
      <c r="G86" s="111">
        <v>1652</v>
      </c>
      <c r="H86" s="116"/>
      <c r="I86" s="116"/>
      <c r="J86" s="116"/>
      <c r="K86" s="116"/>
      <c r="L86" s="117"/>
    </row>
    <row r="87" spans="1:12" ht="10.25" customHeight="1" x14ac:dyDescent="0.15">
      <c r="A87" s="118" t="s">
        <v>169</v>
      </c>
      <c r="B87" s="111">
        <v>23</v>
      </c>
      <c r="C87" s="111">
        <v>7549</v>
      </c>
      <c r="D87" s="112">
        <v>333.2</v>
      </c>
      <c r="E87" s="111">
        <v>344</v>
      </c>
      <c r="F87" s="111">
        <v>334</v>
      </c>
      <c r="G87" s="111">
        <v>2327</v>
      </c>
      <c r="H87" s="116"/>
      <c r="I87" s="116"/>
      <c r="J87" s="116"/>
      <c r="K87" s="116"/>
      <c r="L87" s="117"/>
    </row>
    <row r="88" spans="1:12" ht="10.25" customHeight="1" x14ac:dyDescent="0.15">
      <c r="A88" s="114"/>
      <c r="B88" s="111"/>
      <c r="C88" s="111"/>
      <c r="D88" s="112"/>
      <c r="E88" s="111"/>
      <c r="F88" s="111"/>
      <c r="G88" s="111"/>
      <c r="H88" s="116"/>
      <c r="I88" s="116"/>
      <c r="J88" s="116"/>
      <c r="K88" s="116"/>
      <c r="L88" s="117"/>
    </row>
    <row r="89" spans="1:12" ht="10.25" customHeight="1" x14ac:dyDescent="0.15">
      <c r="A89" s="115" t="s">
        <v>170</v>
      </c>
      <c r="B89" s="111"/>
      <c r="C89" s="111"/>
      <c r="D89" s="112"/>
      <c r="E89" s="111"/>
      <c r="F89" s="111"/>
      <c r="G89" s="111"/>
      <c r="H89" s="116"/>
      <c r="I89" s="116"/>
      <c r="J89" s="116"/>
      <c r="K89" s="116"/>
      <c r="L89" s="117"/>
    </row>
    <row r="90" spans="1:12" ht="10.25" customHeight="1" x14ac:dyDescent="0.15">
      <c r="A90" s="118" t="s">
        <v>171</v>
      </c>
      <c r="B90" s="111">
        <v>382</v>
      </c>
      <c r="C90" s="111">
        <v>3259</v>
      </c>
      <c r="D90" s="112">
        <v>8.5</v>
      </c>
      <c r="E90" s="111">
        <v>107</v>
      </c>
      <c r="F90" s="111">
        <v>104</v>
      </c>
      <c r="G90" s="111">
        <v>892</v>
      </c>
      <c r="H90" s="116"/>
      <c r="I90" s="116"/>
      <c r="J90" s="116"/>
      <c r="K90" s="116"/>
      <c r="L90" s="117"/>
    </row>
    <row r="91" spans="1:12" ht="10.25" customHeight="1" x14ac:dyDescent="0.15">
      <c r="A91" s="118" t="s">
        <v>172</v>
      </c>
      <c r="B91" s="111">
        <v>569</v>
      </c>
      <c r="C91" s="111">
        <v>6913</v>
      </c>
      <c r="D91" s="112">
        <v>12.1</v>
      </c>
      <c r="E91" s="111">
        <v>249</v>
      </c>
      <c r="F91" s="111">
        <v>242</v>
      </c>
      <c r="G91" s="111">
        <v>2018</v>
      </c>
      <c r="H91" s="116"/>
      <c r="I91" s="116"/>
      <c r="J91" s="116"/>
      <c r="K91" s="116"/>
      <c r="L91" s="117"/>
    </row>
    <row r="92" spans="1:12" ht="10.25" customHeight="1" x14ac:dyDescent="0.15">
      <c r="A92" s="118" t="s">
        <v>173</v>
      </c>
      <c r="B92" s="111">
        <v>607</v>
      </c>
      <c r="C92" s="111">
        <v>10191</v>
      </c>
      <c r="D92" s="112">
        <v>16.8</v>
      </c>
      <c r="E92" s="111">
        <v>374</v>
      </c>
      <c r="F92" s="111">
        <v>363</v>
      </c>
      <c r="G92" s="111">
        <v>2928</v>
      </c>
      <c r="H92" s="116"/>
      <c r="I92" s="116"/>
      <c r="J92" s="116"/>
      <c r="K92" s="116"/>
      <c r="L92" s="117"/>
    </row>
    <row r="93" spans="1:12" ht="10.25" customHeight="1" x14ac:dyDescent="0.15">
      <c r="A93" s="118" t="s">
        <v>174</v>
      </c>
      <c r="B93" s="111">
        <v>374</v>
      </c>
      <c r="C93" s="111">
        <v>7468</v>
      </c>
      <c r="D93" s="112">
        <v>20</v>
      </c>
      <c r="E93" s="111">
        <v>314</v>
      </c>
      <c r="F93" s="111">
        <v>305</v>
      </c>
      <c r="G93" s="111">
        <v>2373</v>
      </c>
      <c r="H93" s="116"/>
      <c r="I93" s="116"/>
      <c r="J93" s="116"/>
      <c r="K93" s="116"/>
      <c r="L93" s="117"/>
    </row>
    <row r="94" spans="1:12" ht="10.25" customHeight="1" x14ac:dyDescent="0.15">
      <c r="A94" s="118" t="s">
        <v>175</v>
      </c>
      <c r="B94" s="111">
        <v>233</v>
      </c>
      <c r="C94" s="111">
        <v>5225</v>
      </c>
      <c r="D94" s="112">
        <v>22.4</v>
      </c>
      <c r="E94" s="111">
        <v>257</v>
      </c>
      <c r="F94" s="111">
        <v>249</v>
      </c>
      <c r="G94" s="111">
        <v>1906</v>
      </c>
      <c r="H94" s="116"/>
      <c r="I94" s="116"/>
      <c r="J94" s="116"/>
      <c r="K94" s="116"/>
      <c r="L94" s="117"/>
    </row>
    <row r="95" spans="1:12" ht="10.25" customHeight="1" x14ac:dyDescent="0.15">
      <c r="A95" s="118" t="s">
        <v>176</v>
      </c>
      <c r="B95" s="111">
        <v>225</v>
      </c>
      <c r="C95" s="111">
        <v>10411</v>
      </c>
      <c r="D95" s="112">
        <v>46.2</v>
      </c>
      <c r="E95" s="111">
        <v>626</v>
      </c>
      <c r="F95" s="111">
        <v>607</v>
      </c>
      <c r="G95" s="111">
        <v>4407</v>
      </c>
      <c r="H95" s="116"/>
      <c r="I95" s="116"/>
      <c r="J95" s="116"/>
      <c r="K95" s="116"/>
      <c r="L95" s="117"/>
    </row>
    <row r="96" spans="1:12" ht="10.25" customHeight="1" x14ac:dyDescent="0.15">
      <c r="A96" s="114"/>
      <c r="B96" s="111"/>
      <c r="C96" s="111"/>
      <c r="D96" s="112"/>
      <c r="E96" s="111"/>
      <c r="F96" s="111"/>
      <c r="G96" s="111"/>
      <c r="H96" s="116"/>
      <c r="I96" s="116"/>
      <c r="J96" s="116"/>
      <c r="K96" s="116"/>
      <c r="L96" s="117"/>
    </row>
    <row r="97" spans="1:12" ht="10.25" customHeight="1" x14ac:dyDescent="0.15">
      <c r="A97" s="115" t="s">
        <v>177</v>
      </c>
      <c r="B97" s="111"/>
      <c r="C97" s="111"/>
      <c r="D97" s="112"/>
      <c r="E97" s="111"/>
      <c r="F97" s="111"/>
      <c r="G97" s="111"/>
      <c r="H97" s="116"/>
      <c r="I97" s="116"/>
      <c r="J97" s="116"/>
      <c r="K97" s="116"/>
      <c r="L97" s="117"/>
    </row>
    <row r="98" spans="1:12" ht="10.25" customHeight="1" x14ac:dyDescent="0.15">
      <c r="A98" s="118" t="s">
        <v>178</v>
      </c>
      <c r="B98" s="111">
        <v>2078</v>
      </c>
      <c r="C98" s="111">
        <v>33317</v>
      </c>
      <c r="D98" s="112">
        <v>16</v>
      </c>
      <c r="E98" s="111">
        <v>1503</v>
      </c>
      <c r="F98" s="111">
        <v>1458</v>
      </c>
      <c r="G98" s="111">
        <v>11558</v>
      </c>
      <c r="H98" s="116"/>
      <c r="I98" s="116"/>
      <c r="J98" s="116"/>
      <c r="K98" s="116"/>
      <c r="L98" s="117"/>
    </row>
    <row r="99" spans="1:12" ht="10.25" customHeight="1" x14ac:dyDescent="0.15">
      <c r="A99" s="118" t="s">
        <v>179</v>
      </c>
      <c r="B99" s="111">
        <v>1044</v>
      </c>
      <c r="C99" s="111">
        <v>16548</v>
      </c>
      <c r="D99" s="112">
        <v>15.8</v>
      </c>
      <c r="E99" s="111">
        <v>708</v>
      </c>
      <c r="F99" s="111">
        <v>686</v>
      </c>
      <c r="G99" s="111">
        <v>5361</v>
      </c>
      <c r="H99" s="116"/>
      <c r="I99" s="116"/>
      <c r="J99" s="116"/>
      <c r="K99" s="116"/>
      <c r="L99" s="117"/>
    </row>
    <row r="100" spans="1:12" ht="10.25" customHeight="1" x14ac:dyDescent="0.15">
      <c r="A100" s="118" t="s">
        <v>180</v>
      </c>
      <c r="B100" s="111">
        <v>997</v>
      </c>
      <c r="C100" s="111">
        <v>15886</v>
      </c>
      <c r="D100" s="112">
        <v>15.9</v>
      </c>
      <c r="E100" s="111">
        <v>779</v>
      </c>
      <c r="F100" s="111">
        <v>756</v>
      </c>
      <c r="G100" s="111">
        <v>6070</v>
      </c>
      <c r="H100" s="116"/>
      <c r="I100" s="116"/>
      <c r="J100" s="116"/>
      <c r="K100" s="116"/>
      <c r="L100" s="117"/>
    </row>
    <row r="101" spans="1:12" ht="10.25" customHeight="1" x14ac:dyDescent="0.15">
      <c r="A101" s="118" t="s">
        <v>181</v>
      </c>
      <c r="B101" s="111" t="s">
        <v>182</v>
      </c>
      <c r="C101" s="111" t="s">
        <v>182</v>
      </c>
      <c r="D101" s="112" t="s">
        <v>182</v>
      </c>
      <c r="E101" s="111" t="s">
        <v>182</v>
      </c>
      <c r="F101" s="111" t="s">
        <v>182</v>
      </c>
      <c r="G101" s="111" t="s">
        <v>182</v>
      </c>
      <c r="H101" s="116"/>
      <c r="I101" s="116"/>
      <c r="J101" s="116"/>
      <c r="K101" s="116"/>
      <c r="L101" s="117"/>
    </row>
    <row r="102" spans="1:12" ht="10.25" customHeight="1" x14ac:dyDescent="0.15">
      <c r="A102" s="118" t="s">
        <v>183</v>
      </c>
      <c r="B102" s="111">
        <v>313</v>
      </c>
      <c r="C102" s="111">
        <v>10150</v>
      </c>
      <c r="D102" s="112">
        <v>32.4</v>
      </c>
      <c r="E102" s="111">
        <v>425</v>
      </c>
      <c r="F102" s="111">
        <v>412</v>
      </c>
      <c r="G102" s="111">
        <v>2967</v>
      </c>
      <c r="H102" s="116"/>
      <c r="I102" s="116"/>
      <c r="J102" s="116"/>
      <c r="K102" s="116"/>
      <c r="L102" s="117"/>
    </row>
    <row r="103" spans="1:12" ht="10.25" customHeight="1" x14ac:dyDescent="0.15">
      <c r="A103" s="118" t="s">
        <v>184</v>
      </c>
      <c r="B103" s="111">
        <v>23</v>
      </c>
      <c r="C103" s="111">
        <v>1083</v>
      </c>
      <c r="D103" s="112">
        <v>46.3</v>
      </c>
      <c r="E103" s="111">
        <v>35</v>
      </c>
      <c r="F103" s="111">
        <v>34</v>
      </c>
      <c r="G103" s="111">
        <v>226</v>
      </c>
      <c r="H103" s="116"/>
      <c r="I103" s="116"/>
      <c r="J103" s="116"/>
      <c r="K103" s="116"/>
      <c r="L103" s="117"/>
    </row>
    <row r="104" spans="1:12" ht="10.25" customHeight="1" x14ac:dyDescent="0.15">
      <c r="A104" s="118" t="s">
        <v>185</v>
      </c>
      <c r="B104" s="111">
        <v>72</v>
      </c>
      <c r="C104" s="111">
        <v>2438</v>
      </c>
      <c r="D104" s="112">
        <v>33.799999999999997</v>
      </c>
      <c r="E104" s="111">
        <v>98</v>
      </c>
      <c r="F104" s="111">
        <v>95</v>
      </c>
      <c r="G104" s="111">
        <v>748</v>
      </c>
      <c r="H104" s="116"/>
      <c r="I104" s="116"/>
      <c r="J104" s="116"/>
      <c r="K104" s="116"/>
      <c r="L104" s="117"/>
    </row>
    <row r="105" spans="1:12" ht="10.25" customHeight="1" x14ac:dyDescent="0.15">
      <c r="A105" s="118" t="s">
        <v>186</v>
      </c>
      <c r="B105" s="111">
        <v>218</v>
      </c>
      <c r="C105" s="111">
        <v>6630</v>
      </c>
      <c r="D105" s="112">
        <v>30.4</v>
      </c>
      <c r="E105" s="111">
        <v>291</v>
      </c>
      <c r="F105" s="111">
        <v>283</v>
      </c>
      <c r="G105" s="111">
        <v>1993</v>
      </c>
      <c r="H105" s="116"/>
      <c r="I105" s="116"/>
      <c r="J105" s="116"/>
      <c r="K105" s="116"/>
      <c r="L105" s="117"/>
    </row>
    <row r="106" spans="1:12" ht="10.25" customHeight="1" x14ac:dyDescent="0.15">
      <c r="A106" s="114"/>
      <c r="B106" s="111"/>
      <c r="C106" s="111"/>
      <c r="D106" s="112"/>
      <c r="E106" s="111"/>
      <c r="F106" s="111"/>
      <c r="G106" s="111"/>
      <c r="H106" s="116"/>
      <c r="I106" s="116"/>
      <c r="J106" s="116"/>
      <c r="K106" s="116"/>
      <c r="L106" s="117"/>
    </row>
    <row r="107" spans="1:12" ht="10.25" customHeight="1" x14ac:dyDescent="0.15">
      <c r="A107" s="115" t="s">
        <v>187</v>
      </c>
      <c r="B107" s="111"/>
      <c r="C107" s="111"/>
      <c r="D107" s="112"/>
      <c r="E107" s="111"/>
      <c r="F107" s="111"/>
      <c r="G107" s="111"/>
      <c r="H107" s="116"/>
      <c r="I107" s="116"/>
      <c r="J107" s="116"/>
      <c r="K107" s="116"/>
      <c r="L107" s="117"/>
    </row>
    <row r="108" spans="1:12" ht="10.25" customHeight="1" x14ac:dyDescent="0.15">
      <c r="A108" s="118" t="s">
        <v>188</v>
      </c>
      <c r="B108" s="111">
        <v>37</v>
      </c>
      <c r="C108" s="111">
        <v>933</v>
      </c>
      <c r="D108" s="112">
        <v>25.6</v>
      </c>
      <c r="E108" s="111">
        <v>18</v>
      </c>
      <c r="F108" s="111">
        <v>18</v>
      </c>
      <c r="G108" s="111">
        <v>142</v>
      </c>
      <c r="H108" s="116"/>
      <c r="I108" s="116"/>
      <c r="J108" s="116"/>
      <c r="K108" s="116"/>
      <c r="L108" s="117"/>
    </row>
    <row r="109" spans="1:12" ht="10.25" customHeight="1" x14ac:dyDescent="0.15">
      <c r="A109" s="118" t="s">
        <v>189</v>
      </c>
      <c r="B109" s="111" t="s">
        <v>182</v>
      </c>
      <c r="C109" s="111" t="s">
        <v>182</v>
      </c>
      <c r="D109" s="112" t="s">
        <v>182</v>
      </c>
      <c r="E109" s="111" t="s">
        <v>182</v>
      </c>
      <c r="F109" s="111" t="s">
        <v>182</v>
      </c>
      <c r="G109" s="111" t="s">
        <v>182</v>
      </c>
      <c r="H109" s="116"/>
      <c r="I109" s="116"/>
      <c r="J109" s="116"/>
      <c r="K109" s="116"/>
      <c r="L109" s="117"/>
    </row>
    <row r="110" spans="1:12" ht="10.25" customHeight="1" x14ac:dyDescent="0.15">
      <c r="A110" s="118" t="s">
        <v>190</v>
      </c>
      <c r="B110" s="111">
        <v>264</v>
      </c>
      <c r="C110" s="111">
        <v>8446</v>
      </c>
      <c r="D110" s="112">
        <v>32</v>
      </c>
      <c r="E110" s="111">
        <v>318</v>
      </c>
      <c r="F110" s="111">
        <v>308</v>
      </c>
      <c r="G110" s="111">
        <v>2477</v>
      </c>
      <c r="H110" s="116"/>
      <c r="I110" s="116"/>
      <c r="J110" s="116"/>
      <c r="K110" s="116"/>
      <c r="L110" s="117"/>
    </row>
    <row r="111" spans="1:12" ht="10.25" customHeight="1" x14ac:dyDescent="0.15">
      <c r="A111" s="118" t="s">
        <v>191</v>
      </c>
      <c r="B111" s="111">
        <v>2079</v>
      </c>
      <c r="C111" s="111">
        <v>33845</v>
      </c>
      <c r="D111" s="112">
        <v>16.3</v>
      </c>
      <c r="E111" s="111">
        <v>1582</v>
      </c>
      <c r="F111" s="111">
        <v>1534</v>
      </c>
      <c r="G111" s="111">
        <v>11828</v>
      </c>
      <c r="H111" s="116"/>
      <c r="I111" s="116"/>
      <c r="J111" s="116"/>
      <c r="K111" s="116"/>
      <c r="L111" s="117"/>
    </row>
    <row r="112" spans="1:12" ht="10.25" customHeight="1" x14ac:dyDescent="0.15">
      <c r="A112" s="114"/>
      <c r="B112" s="111"/>
      <c r="C112" s="111"/>
      <c r="D112" s="112"/>
      <c r="E112" s="111"/>
      <c r="F112" s="111"/>
      <c r="G112" s="111"/>
      <c r="H112" s="116"/>
      <c r="I112" s="116"/>
      <c r="J112" s="116"/>
      <c r="K112" s="116"/>
      <c r="L112" s="117"/>
    </row>
    <row r="113" spans="1:12" ht="10.25" customHeight="1" x14ac:dyDescent="0.15">
      <c r="A113" s="115" t="s">
        <v>192</v>
      </c>
      <c r="B113" s="111"/>
      <c r="C113" s="111"/>
      <c r="D113" s="112"/>
      <c r="E113" s="111"/>
      <c r="F113" s="111"/>
      <c r="G113" s="111"/>
      <c r="H113" s="116"/>
      <c r="I113" s="116"/>
      <c r="J113" s="116"/>
      <c r="K113" s="116"/>
      <c r="L113" s="117"/>
    </row>
    <row r="114" spans="1:12" ht="10.25" customHeight="1" x14ac:dyDescent="0.15">
      <c r="A114" s="118" t="s">
        <v>149</v>
      </c>
      <c r="B114" s="111">
        <v>1912</v>
      </c>
      <c r="C114" s="111">
        <v>30518</v>
      </c>
      <c r="D114" s="112">
        <v>16</v>
      </c>
      <c r="E114" s="111">
        <v>1462</v>
      </c>
      <c r="F114" s="111">
        <v>1418</v>
      </c>
      <c r="G114" s="111">
        <v>10950</v>
      </c>
      <c r="H114" s="116"/>
      <c r="I114" s="116"/>
      <c r="J114" s="116"/>
      <c r="K114" s="116"/>
      <c r="L114" s="117"/>
    </row>
    <row r="115" spans="1:12" ht="10.25" customHeight="1" x14ac:dyDescent="0.15">
      <c r="A115" s="118" t="s">
        <v>193</v>
      </c>
      <c r="B115" s="111">
        <v>382</v>
      </c>
      <c r="C115" s="111">
        <v>7593</v>
      </c>
      <c r="D115" s="112">
        <v>19.899999999999999</v>
      </c>
      <c r="E115" s="111">
        <v>307</v>
      </c>
      <c r="F115" s="111">
        <v>298</v>
      </c>
      <c r="G115" s="111">
        <v>2377</v>
      </c>
      <c r="H115" s="116"/>
      <c r="I115" s="116"/>
      <c r="J115" s="116"/>
      <c r="K115" s="116"/>
      <c r="L115" s="117"/>
    </row>
    <row r="116" spans="1:12" ht="10.25" customHeight="1" x14ac:dyDescent="0.15">
      <c r="A116" s="118" t="s">
        <v>194</v>
      </c>
      <c r="B116" s="111">
        <v>39</v>
      </c>
      <c r="C116" s="111">
        <v>1355</v>
      </c>
      <c r="D116" s="112">
        <v>34.5</v>
      </c>
      <c r="E116" s="111">
        <v>48</v>
      </c>
      <c r="F116" s="111">
        <v>47</v>
      </c>
      <c r="G116" s="111">
        <v>366</v>
      </c>
      <c r="H116" s="116"/>
      <c r="I116" s="116"/>
      <c r="J116" s="116"/>
      <c r="K116" s="116"/>
      <c r="L116" s="117"/>
    </row>
    <row r="117" spans="1:12" ht="10.25" customHeight="1" x14ac:dyDescent="0.15">
      <c r="A117" s="118" t="s">
        <v>195</v>
      </c>
      <c r="B117" s="111">
        <v>12</v>
      </c>
      <c r="C117" s="111">
        <v>1271</v>
      </c>
      <c r="D117" s="112">
        <v>102.6</v>
      </c>
      <c r="E117" s="111">
        <v>34</v>
      </c>
      <c r="F117" s="111">
        <v>33</v>
      </c>
      <c r="G117" s="111">
        <v>248</v>
      </c>
      <c r="H117" s="116"/>
      <c r="I117" s="116"/>
      <c r="J117" s="116"/>
      <c r="K117" s="116"/>
      <c r="L117" s="117"/>
    </row>
    <row r="118" spans="1:12" ht="10.25" customHeight="1" x14ac:dyDescent="0.15">
      <c r="A118" s="118" t="s">
        <v>196</v>
      </c>
      <c r="B118" s="111">
        <v>9</v>
      </c>
      <c r="C118" s="111">
        <v>1797</v>
      </c>
      <c r="D118" s="112" t="s">
        <v>182</v>
      </c>
      <c r="E118" s="111">
        <v>58</v>
      </c>
      <c r="F118" s="111">
        <v>56</v>
      </c>
      <c r="G118" s="111">
        <v>441</v>
      </c>
      <c r="H118" s="116"/>
      <c r="I118" s="116"/>
      <c r="J118" s="116"/>
      <c r="K118" s="116"/>
      <c r="L118" s="117"/>
    </row>
    <row r="119" spans="1:12" ht="10.25" customHeight="1" x14ac:dyDescent="0.15">
      <c r="A119" s="118" t="s">
        <v>197</v>
      </c>
      <c r="B119" s="111">
        <v>37</v>
      </c>
      <c r="C119" s="111">
        <v>933</v>
      </c>
      <c r="D119" s="112">
        <v>25.6</v>
      </c>
      <c r="E119" s="111">
        <v>18</v>
      </c>
      <c r="F119" s="111">
        <v>18</v>
      </c>
      <c r="G119" s="111">
        <v>142</v>
      </c>
      <c r="H119" s="116"/>
      <c r="I119" s="116"/>
      <c r="J119" s="116"/>
      <c r="K119" s="116"/>
      <c r="L119" s="117"/>
    </row>
    <row r="120" spans="1:12" ht="10.25" customHeight="1" x14ac:dyDescent="0.15">
      <c r="A120" s="114"/>
      <c r="B120" s="111"/>
      <c r="C120" s="111"/>
      <c r="D120" s="112"/>
      <c r="E120" s="111"/>
      <c r="F120" s="111"/>
      <c r="G120" s="111"/>
      <c r="H120" s="116"/>
      <c r="I120" s="116"/>
      <c r="J120" s="116"/>
      <c r="K120" s="116"/>
      <c r="L120" s="117"/>
    </row>
    <row r="121" spans="1:12" ht="10.25" customHeight="1" x14ac:dyDescent="0.15">
      <c r="A121" s="115" t="s">
        <v>198</v>
      </c>
      <c r="B121" s="111"/>
      <c r="C121" s="111"/>
      <c r="D121" s="112"/>
      <c r="E121" s="111"/>
      <c r="F121" s="111"/>
      <c r="G121" s="111"/>
      <c r="H121" s="116"/>
      <c r="I121" s="116"/>
      <c r="J121" s="116"/>
      <c r="K121" s="116"/>
      <c r="L121" s="117"/>
    </row>
    <row r="122" spans="1:12" ht="10.25" customHeight="1" x14ac:dyDescent="0.15">
      <c r="A122" s="115" t="s">
        <v>199</v>
      </c>
      <c r="B122" s="111"/>
      <c r="C122" s="111"/>
      <c r="D122" s="112"/>
      <c r="E122" s="111"/>
      <c r="F122" s="111"/>
      <c r="G122" s="111"/>
      <c r="H122" s="116"/>
      <c r="I122" s="116"/>
      <c r="J122" s="116"/>
      <c r="K122" s="116"/>
      <c r="L122" s="117"/>
    </row>
    <row r="123" spans="1:12" ht="10.25" customHeight="1" x14ac:dyDescent="0.15">
      <c r="A123" s="118" t="s">
        <v>200</v>
      </c>
      <c r="B123" s="111">
        <v>1292</v>
      </c>
      <c r="C123" s="111">
        <v>23551</v>
      </c>
      <c r="D123" s="112">
        <v>18.2</v>
      </c>
      <c r="E123" s="111">
        <v>1127</v>
      </c>
      <c r="F123" s="111">
        <v>1093</v>
      </c>
      <c r="G123" s="111">
        <v>8403</v>
      </c>
      <c r="H123" s="116"/>
      <c r="I123" s="116"/>
      <c r="J123" s="116"/>
      <c r="K123" s="116"/>
      <c r="L123" s="117"/>
    </row>
    <row r="124" spans="1:12" ht="10.25" customHeight="1" x14ac:dyDescent="0.15">
      <c r="A124" s="118" t="s">
        <v>201</v>
      </c>
      <c r="B124" s="111">
        <v>423</v>
      </c>
      <c r="C124" s="111">
        <v>7323</v>
      </c>
      <c r="D124" s="112">
        <v>17.3</v>
      </c>
      <c r="E124" s="111">
        <v>351</v>
      </c>
      <c r="F124" s="111">
        <v>340</v>
      </c>
      <c r="G124" s="111">
        <v>2622</v>
      </c>
      <c r="H124" s="116"/>
      <c r="I124" s="116"/>
      <c r="J124" s="116"/>
      <c r="K124" s="116"/>
      <c r="L124" s="117"/>
    </row>
    <row r="125" spans="1:12" ht="10.25" customHeight="1" x14ac:dyDescent="0.15">
      <c r="A125" s="118" t="s">
        <v>202</v>
      </c>
      <c r="B125" s="111">
        <v>83</v>
      </c>
      <c r="C125" s="111">
        <v>4680</v>
      </c>
      <c r="D125" s="112">
        <v>56.4</v>
      </c>
      <c r="E125" s="111">
        <v>180</v>
      </c>
      <c r="F125" s="111">
        <v>174</v>
      </c>
      <c r="G125" s="111">
        <v>1326</v>
      </c>
      <c r="H125" s="116"/>
      <c r="I125" s="116"/>
      <c r="J125" s="116"/>
      <c r="K125" s="116"/>
      <c r="L125" s="117"/>
    </row>
    <row r="126" spans="1:12" ht="10.25" customHeight="1" x14ac:dyDescent="0.15">
      <c r="A126" s="118" t="s">
        <v>203</v>
      </c>
      <c r="B126" s="111">
        <v>261</v>
      </c>
      <c r="C126" s="111">
        <v>1997</v>
      </c>
      <c r="D126" s="112">
        <v>7.7</v>
      </c>
      <c r="E126" s="111">
        <v>85</v>
      </c>
      <c r="F126" s="111">
        <v>83</v>
      </c>
      <c r="G126" s="111">
        <v>735</v>
      </c>
      <c r="H126" s="116"/>
      <c r="I126" s="116"/>
      <c r="J126" s="116"/>
      <c r="K126" s="116"/>
      <c r="L126" s="117"/>
    </row>
    <row r="127" spans="1:12" ht="10.25" customHeight="1" x14ac:dyDescent="0.15">
      <c r="A127" s="118" t="s">
        <v>204</v>
      </c>
      <c r="B127" s="111">
        <v>276</v>
      </c>
      <c r="C127" s="111">
        <v>4023</v>
      </c>
      <c r="D127" s="112">
        <v>14.6</v>
      </c>
      <c r="E127" s="111">
        <v>130</v>
      </c>
      <c r="F127" s="111">
        <v>126</v>
      </c>
      <c r="G127" s="111">
        <v>1059</v>
      </c>
      <c r="H127" s="116"/>
      <c r="I127" s="116"/>
      <c r="J127" s="116"/>
      <c r="K127" s="116"/>
      <c r="L127" s="117"/>
    </row>
    <row r="128" spans="1:12" ht="10.25" customHeight="1" x14ac:dyDescent="0.15">
      <c r="A128" s="118" t="s">
        <v>205</v>
      </c>
      <c r="B128" s="111">
        <v>11</v>
      </c>
      <c r="C128" s="111">
        <v>696</v>
      </c>
      <c r="D128" s="112">
        <v>65</v>
      </c>
      <c r="E128" s="111">
        <v>14</v>
      </c>
      <c r="F128" s="111">
        <v>14</v>
      </c>
      <c r="G128" s="111">
        <v>83</v>
      </c>
      <c r="H128" s="116"/>
      <c r="I128" s="116"/>
      <c r="J128" s="116"/>
      <c r="K128" s="116"/>
      <c r="L128" s="117"/>
    </row>
    <row r="129" spans="1:12" ht="10.25" customHeight="1" x14ac:dyDescent="0.15">
      <c r="A129" s="118" t="s">
        <v>116</v>
      </c>
      <c r="B129" s="111">
        <v>33</v>
      </c>
      <c r="C129" s="111">
        <v>898</v>
      </c>
      <c r="D129" s="112">
        <v>26.9</v>
      </c>
      <c r="E129" s="111">
        <v>35</v>
      </c>
      <c r="F129" s="111">
        <v>34</v>
      </c>
      <c r="G129" s="111">
        <v>248</v>
      </c>
      <c r="H129" s="116"/>
      <c r="I129" s="116"/>
      <c r="J129" s="116"/>
      <c r="K129" s="116"/>
      <c r="L129" s="117"/>
    </row>
    <row r="130" spans="1:12" ht="10.25" customHeight="1" x14ac:dyDescent="0.15">
      <c r="A130" s="118" t="s">
        <v>206</v>
      </c>
      <c r="B130" s="111" t="s">
        <v>182</v>
      </c>
      <c r="C130" s="111" t="s">
        <v>182</v>
      </c>
      <c r="D130" s="112" t="s">
        <v>182</v>
      </c>
      <c r="E130" s="111" t="s">
        <v>182</v>
      </c>
      <c r="F130" s="111" t="s">
        <v>182</v>
      </c>
      <c r="G130" s="111" t="s">
        <v>182</v>
      </c>
      <c r="H130" s="116"/>
      <c r="I130" s="116"/>
      <c r="J130" s="116"/>
      <c r="K130" s="116"/>
      <c r="L130" s="117"/>
    </row>
    <row r="131" spans="1:12" ht="10.25" customHeight="1" x14ac:dyDescent="0.15">
      <c r="A131" s="114"/>
      <c r="B131" s="111"/>
      <c r="C131" s="111"/>
      <c r="D131" s="112"/>
      <c r="E131" s="111"/>
      <c r="F131" s="111"/>
      <c r="G131" s="111"/>
      <c r="H131" s="116"/>
      <c r="I131" s="116"/>
      <c r="J131" s="116"/>
      <c r="K131" s="116"/>
      <c r="L131" s="117"/>
    </row>
    <row r="132" spans="1:12" ht="10.25" customHeight="1" x14ac:dyDescent="0.15">
      <c r="A132" s="115" t="s">
        <v>207</v>
      </c>
      <c r="B132" s="111"/>
      <c r="C132" s="111"/>
      <c r="D132" s="112"/>
      <c r="E132" s="111"/>
      <c r="F132" s="111"/>
      <c r="G132" s="111"/>
      <c r="H132" s="117"/>
      <c r="I132" s="117"/>
      <c r="J132" s="117"/>
      <c r="K132" s="117"/>
      <c r="L132" s="117"/>
    </row>
    <row r="133" spans="1:12" ht="10.25" customHeight="1" x14ac:dyDescent="0.15">
      <c r="A133" s="118" t="s">
        <v>208</v>
      </c>
      <c r="B133" s="111">
        <v>649</v>
      </c>
      <c r="C133" s="111">
        <v>15208</v>
      </c>
      <c r="D133" s="112">
        <v>23.4</v>
      </c>
      <c r="E133" s="111">
        <v>743</v>
      </c>
      <c r="F133" s="111">
        <v>720</v>
      </c>
      <c r="G133" s="111">
        <v>5529</v>
      </c>
      <c r="H133" s="117"/>
      <c r="I133" s="117"/>
      <c r="J133" s="117"/>
      <c r="K133" s="117"/>
      <c r="L133" s="117"/>
    </row>
    <row r="134" spans="1:12" ht="10.25" customHeight="1" x14ac:dyDescent="0.15">
      <c r="A134" s="118" t="s">
        <v>209</v>
      </c>
      <c r="B134" s="111">
        <v>677</v>
      </c>
      <c r="C134" s="111">
        <v>6519</v>
      </c>
      <c r="D134" s="112">
        <v>9.6</v>
      </c>
      <c r="E134" s="111">
        <v>310</v>
      </c>
      <c r="F134" s="111">
        <v>301</v>
      </c>
      <c r="G134" s="111">
        <v>2482</v>
      </c>
      <c r="H134" s="117"/>
      <c r="I134" s="117"/>
      <c r="J134" s="117"/>
      <c r="K134" s="117"/>
      <c r="L134" s="117"/>
    </row>
    <row r="135" spans="1:12" ht="10.25" customHeight="1" x14ac:dyDescent="0.15">
      <c r="A135" s="118" t="s">
        <v>210</v>
      </c>
      <c r="B135" s="111">
        <v>436</v>
      </c>
      <c r="C135" s="111">
        <v>5781</v>
      </c>
      <c r="D135" s="112">
        <v>13.2</v>
      </c>
      <c r="E135" s="111">
        <v>194</v>
      </c>
      <c r="F135" s="111">
        <v>188</v>
      </c>
      <c r="G135" s="111">
        <v>1516</v>
      </c>
      <c r="H135" s="117"/>
      <c r="I135" s="117"/>
      <c r="J135" s="117"/>
      <c r="K135" s="117"/>
      <c r="L135" s="117"/>
    </row>
    <row r="136" spans="1:12" ht="10.25" customHeight="1" x14ac:dyDescent="0.15">
      <c r="A136" s="118" t="s">
        <v>211</v>
      </c>
      <c r="B136" s="111">
        <v>363</v>
      </c>
      <c r="C136" s="111">
        <v>11838</v>
      </c>
      <c r="D136" s="112">
        <v>32.700000000000003</v>
      </c>
      <c r="E136" s="111">
        <v>542</v>
      </c>
      <c r="F136" s="111">
        <v>526</v>
      </c>
      <c r="G136" s="111">
        <v>3905</v>
      </c>
      <c r="H136" s="117"/>
      <c r="I136" s="117"/>
      <c r="J136" s="117"/>
      <c r="K136" s="117"/>
      <c r="L136" s="117"/>
    </row>
    <row r="137" spans="1:12" ht="10.25" customHeight="1" x14ac:dyDescent="0.15">
      <c r="A137" s="118" t="s">
        <v>212</v>
      </c>
      <c r="B137" s="111">
        <v>152</v>
      </c>
      <c r="C137" s="111">
        <v>1574</v>
      </c>
      <c r="D137" s="112">
        <v>10.4</v>
      </c>
      <c r="E137" s="111">
        <v>67</v>
      </c>
      <c r="F137" s="111">
        <v>65</v>
      </c>
      <c r="G137" s="111">
        <v>562</v>
      </c>
      <c r="H137" s="117"/>
      <c r="I137" s="117"/>
      <c r="J137" s="117"/>
      <c r="K137" s="117"/>
      <c r="L137" s="117"/>
    </row>
    <row r="138" spans="1:12" ht="10.25" customHeight="1" x14ac:dyDescent="0.15">
      <c r="A138" s="118" t="s">
        <v>213</v>
      </c>
      <c r="B138" s="111">
        <v>59</v>
      </c>
      <c r="C138" s="111">
        <v>526</v>
      </c>
      <c r="D138" s="112">
        <v>8.9</v>
      </c>
      <c r="E138" s="111">
        <v>21</v>
      </c>
      <c r="F138" s="111">
        <v>20</v>
      </c>
      <c r="G138" s="111">
        <v>160</v>
      </c>
      <c r="H138" s="117"/>
      <c r="I138" s="117"/>
      <c r="J138" s="117"/>
      <c r="K138" s="117"/>
      <c r="L138" s="117"/>
    </row>
    <row r="139" spans="1:12" ht="10.25" customHeight="1" x14ac:dyDescent="0.15">
      <c r="A139" s="118" t="s">
        <v>214</v>
      </c>
      <c r="B139" s="111">
        <v>34</v>
      </c>
      <c r="C139" s="111" t="s">
        <v>182</v>
      </c>
      <c r="D139" s="112" t="s">
        <v>182</v>
      </c>
      <c r="E139" s="111">
        <v>24</v>
      </c>
      <c r="F139" s="111">
        <v>23</v>
      </c>
      <c r="G139" s="111">
        <v>168</v>
      </c>
      <c r="H139" s="117"/>
      <c r="I139" s="117"/>
      <c r="J139" s="117"/>
      <c r="K139" s="117"/>
      <c r="L139" s="117"/>
    </row>
    <row r="140" spans="1:12" ht="10.25" customHeight="1" x14ac:dyDescent="0.15">
      <c r="A140" s="118" t="s">
        <v>116</v>
      </c>
      <c r="B140" s="111" t="s">
        <v>182</v>
      </c>
      <c r="C140" s="111" t="s">
        <v>182</v>
      </c>
      <c r="D140" s="112" t="s">
        <v>182</v>
      </c>
      <c r="E140" s="111" t="s">
        <v>182</v>
      </c>
      <c r="F140" s="111" t="s">
        <v>182</v>
      </c>
      <c r="G140" s="111" t="s">
        <v>182</v>
      </c>
      <c r="H140" s="117"/>
      <c r="I140" s="117"/>
      <c r="J140" s="117"/>
      <c r="K140" s="117"/>
      <c r="L140" s="117"/>
    </row>
    <row r="141" spans="1:12" ht="10.25" customHeight="1" x14ac:dyDescent="0.15">
      <c r="A141" s="118" t="s">
        <v>206</v>
      </c>
      <c r="B141" s="111">
        <v>13</v>
      </c>
      <c r="C141" s="111">
        <v>378</v>
      </c>
      <c r="D141" s="112">
        <v>29.1</v>
      </c>
      <c r="E141" s="111">
        <v>16</v>
      </c>
      <c r="F141" s="111">
        <v>16</v>
      </c>
      <c r="G141" s="111">
        <v>124</v>
      </c>
      <c r="H141" s="117"/>
      <c r="I141" s="117"/>
      <c r="J141" s="117"/>
      <c r="K141" s="117"/>
      <c r="L141" s="117"/>
    </row>
    <row r="142" spans="1:12" ht="10.25" customHeight="1" x14ac:dyDescent="0.15">
      <c r="A142" s="114"/>
      <c r="B142" s="111"/>
      <c r="C142" s="111"/>
      <c r="D142" s="112"/>
      <c r="E142" s="111"/>
      <c r="F142" s="111"/>
      <c r="G142" s="111"/>
      <c r="H142" s="117"/>
      <c r="I142" s="117"/>
      <c r="J142" s="117"/>
      <c r="K142" s="117"/>
      <c r="L142" s="117"/>
    </row>
    <row r="143" spans="1:12" ht="10.25" customHeight="1" x14ac:dyDescent="0.15">
      <c r="A143" s="115" t="s">
        <v>215</v>
      </c>
      <c r="B143" s="111"/>
      <c r="C143" s="111"/>
      <c r="D143" s="112"/>
      <c r="E143" s="111"/>
      <c r="F143" s="111"/>
      <c r="G143" s="111"/>
      <c r="H143" s="117"/>
      <c r="I143" s="117"/>
      <c r="J143" s="117"/>
      <c r="K143" s="117"/>
      <c r="L143" s="117"/>
    </row>
    <row r="144" spans="1:12" ht="10.25" customHeight="1" x14ac:dyDescent="0.15">
      <c r="A144" s="115" t="s">
        <v>216</v>
      </c>
      <c r="B144" s="111"/>
      <c r="C144" s="111"/>
      <c r="D144" s="112"/>
      <c r="E144" s="111"/>
      <c r="F144" s="111"/>
      <c r="G144" s="111"/>
      <c r="H144" s="117"/>
      <c r="I144" s="117"/>
      <c r="J144" s="117"/>
      <c r="K144" s="117"/>
      <c r="L144" s="117"/>
    </row>
    <row r="145" spans="1:12" ht="10.25" customHeight="1" x14ac:dyDescent="0.15">
      <c r="A145" s="115" t="s">
        <v>155</v>
      </c>
      <c r="B145" s="111"/>
      <c r="C145" s="111"/>
      <c r="D145" s="112"/>
      <c r="E145" s="111"/>
      <c r="F145" s="111"/>
      <c r="G145" s="111"/>
      <c r="H145" s="117"/>
      <c r="I145" s="117"/>
      <c r="J145" s="117"/>
      <c r="K145" s="117"/>
      <c r="L145" s="117"/>
    </row>
    <row r="146" spans="1:12" ht="10.25" customHeight="1" x14ac:dyDescent="0.15">
      <c r="A146" s="114" t="s">
        <v>217</v>
      </c>
      <c r="B146" s="111"/>
      <c r="C146" s="111"/>
      <c r="D146" s="112"/>
      <c r="E146" s="111"/>
      <c r="F146" s="111"/>
      <c r="G146" s="111"/>
      <c r="H146" s="117"/>
      <c r="I146" s="117"/>
      <c r="J146" s="117"/>
      <c r="K146" s="117"/>
      <c r="L146" s="117"/>
    </row>
    <row r="147" spans="1:12" ht="10.25" customHeight="1" x14ac:dyDescent="0.15">
      <c r="A147" s="118" t="s">
        <v>218</v>
      </c>
      <c r="B147" s="111">
        <v>641</v>
      </c>
      <c r="C147" s="111">
        <v>13270</v>
      </c>
      <c r="D147" s="112">
        <v>20.7</v>
      </c>
      <c r="E147" s="111">
        <v>684</v>
      </c>
      <c r="F147" s="111">
        <v>663</v>
      </c>
      <c r="G147" s="111">
        <v>4851</v>
      </c>
      <c r="H147" s="117"/>
      <c r="I147" s="117"/>
      <c r="J147" s="117"/>
      <c r="K147" s="117"/>
      <c r="L147" s="117"/>
    </row>
    <row r="148" spans="1:12" ht="10.25" customHeight="1" x14ac:dyDescent="0.15">
      <c r="A148" s="118" t="s">
        <v>219</v>
      </c>
      <c r="B148" s="111">
        <v>158</v>
      </c>
      <c r="C148" s="111">
        <v>5036</v>
      </c>
      <c r="D148" s="112">
        <v>31.8</v>
      </c>
      <c r="E148" s="111">
        <v>304</v>
      </c>
      <c r="F148" s="111">
        <v>295</v>
      </c>
      <c r="G148" s="111">
        <v>1982</v>
      </c>
      <c r="H148" s="117"/>
      <c r="I148" s="117"/>
      <c r="J148" s="117"/>
      <c r="K148" s="117"/>
      <c r="L148" s="117"/>
    </row>
    <row r="149" spans="1:12" ht="10.25" customHeight="1" x14ac:dyDescent="0.15">
      <c r="A149" s="118" t="s">
        <v>220</v>
      </c>
      <c r="B149" s="111">
        <v>18</v>
      </c>
      <c r="C149" s="111">
        <v>964</v>
      </c>
      <c r="D149" s="112">
        <v>53.6</v>
      </c>
      <c r="E149" s="111">
        <v>52</v>
      </c>
      <c r="F149" s="111">
        <v>50</v>
      </c>
      <c r="G149" s="111">
        <v>390</v>
      </c>
      <c r="H149" s="117"/>
      <c r="I149" s="117"/>
      <c r="J149" s="117"/>
      <c r="K149" s="117"/>
      <c r="L149" s="117"/>
    </row>
    <row r="150" spans="1:12" ht="10.25" customHeight="1" x14ac:dyDescent="0.15">
      <c r="A150" s="118" t="s">
        <v>221</v>
      </c>
      <c r="B150" s="111">
        <v>477</v>
      </c>
      <c r="C150" s="111">
        <v>10073</v>
      </c>
      <c r="D150" s="112">
        <v>21.1</v>
      </c>
      <c r="E150" s="111">
        <v>497</v>
      </c>
      <c r="F150" s="111">
        <v>482</v>
      </c>
      <c r="G150" s="111">
        <v>3587</v>
      </c>
      <c r="H150" s="117"/>
      <c r="I150" s="117"/>
      <c r="J150" s="117"/>
      <c r="K150" s="117"/>
      <c r="L150" s="117"/>
    </row>
    <row r="151" spans="1:12" ht="10.25" customHeight="1" x14ac:dyDescent="0.15">
      <c r="A151" s="118" t="s">
        <v>222</v>
      </c>
      <c r="B151" s="111">
        <v>234</v>
      </c>
      <c r="C151" s="111">
        <v>6328</v>
      </c>
      <c r="D151" s="112">
        <v>27</v>
      </c>
      <c r="E151" s="111">
        <v>278</v>
      </c>
      <c r="F151" s="111">
        <v>270</v>
      </c>
      <c r="G151" s="111">
        <v>1966</v>
      </c>
      <c r="H151" s="117"/>
      <c r="I151" s="117"/>
      <c r="J151" s="117"/>
      <c r="K151" s="117"/>
      <c r="L151" s="117"/>
    </row>
    <row r="152" spans="1:12" ht="10.25" customHeight="1" x14ac:dyDescent="0.15">
      <c r="A152" s="114" t="s">
        <v>223</v>
      </c>
      <c r="B152" s="111"/>
      <c r="C152" s="111"/>
      <c r="D152" s="112"/>
      <c r="E152" s="111"/>
      <c r="F152" s="111"/>
      <c r="G152" s="111"/>
      <c r="H152" s="117"/>
      <c r="I152" s="117"/>
      <c r="J152" s="117"/>
      <c r="K152" s="117"/>
      <c r="L152" s="117"/>
    </row>
    <row r="153" spans="1:12" ht="10.25" customHeight="1" x14ac:dyDescent="0.15">
      <c r="A153" s="118" t="s">
        <v>224</v>
      </c>
      <c r="B153" s="111">
        <v>278</v>
      </c>
      <c r="C153" s="111">
        <v>7019</v>
      </c>
      <c r="D153" s="112">
        <v>25.2</v>
      </c>
      <c r="E153" s="111">
        <v>342</v>
      </c>
      <c r="F153" s="111">
        <v>331</v>
      </c>
      <c r="G153" s="111">
        <v>2430</v>
      </c>
      <c r="H153" s="117"/>
      <c r="I153" s="117"/>
      <c r="J153" s="117"/>
      <c r="K153" s="117"/>
      <c r="L153" s="117"/>
    </row>
    <row r="154" spans="1:12" ht="10.25" customHeight="1" x14ac:dyDescent="0.15">
      <c r="A154" s="118" t="s">
        <v>225</v>
      </c>
      <c r="B154" s="111">
        <v>306</v>
      </c>
      <c r="C154" s="111">
        <v>8482</v>
      </c>
      <c r="D154" s="112">
        <v>27.7</v>
      </c>
      <c r="E154" s="111">
        <v>467</v>
      </c>
      <c r="F154" s="111">
        <v>453</v>
      </c>
      <c r="G154" s="111">
        <v>3281</v>
      </c>
      <c r="H154" s="117"/>
      <c r="I154" s="117"/>
      <c r="J154" s="117"/>
      <c r="K154" s="117"/>
      <c r="L154" s="117"/>
    </row>
    <row r="155" spans="1:12" ht="10.25" customHeight="1" x14ac:dyDescent="0.15">
      <c r="A155" s="118" t="s">
        <v>226</v>
      </c>
      <c r="B155" s="111">
        <v>304</v>
      </c>
      <c r="C155" s="111">
        <v>8104</v>
      </c>
      <c r="D155" s="112">
        <v>26.7</v>
      </c>
      <c r="E155" s="111">
        <v>397</v>
      </c>
      <c r="F155" s="111">
        <v>386</v>
      </c>
      <c r="G155" s="111">
        <v>2868</v>
      </c>
      <c r="H155" s="117"/>
      <c r="I155" s="117"/>
      <c r="J155" s="117"/>
      <c r="K155" s="117"/>
      <c r="L155" s="117"/>
    </row>
    <row r="156" spans="1:12" ht="10.25" customHeight="1" x14ac:dyDescent="0.15">
      <c r="A156" s="118" t="s">
        <v>227</v>
      </c>
      <c r="B156" s="111">
        <v>195</v>
      </c>
      <c r="C156" s="111">
        <v>5000</v>
      </c>
      <c r="D156" s="112">
        <v>25.6</v>
      </c>
      <c r="E156" s="111">
        <v>242</v>
      </c>
      <c r="F156" s="111">
        <v>235</v>
      </c>
      <c r="G156" s="111">
        <v>1734</v>
      </c>
      <c r="H156" s="117"/>
      <c r="I156" s="117"/>
      <c r="J156" s="117"/>
      <c r="K156" s="117"/>
      <c r="L156" s="117"/>
    </row>
    <row r="157" spans="1:12" ht="10.25" customHeight="1" x14ac:dyDescent="0.15">
      <c r="A157" s="118" t="s">
        <v>228</v>
      </c>
      <c r="B157" s="111">
        <v>213</v>
      </c>
      <c r="C157" s="111">
        <v>5714</v>
      </c>
      <c r="D157" s="112">
        <v>26.8</v>
      </c>
      <c r="E157" s="111">
        <v>287</v>
      </c>
      <c r="F157" s="111">
        <v>278</v>
      </c>
      <c r="G157" s="111">
        <v>2051</v>
      </c>
      <c r="H157" s="117"/>
      <c r="I157" s="117"/>
      <c r="J157" s="117"/>
      <c r="K157" s="117"/>
      <c r="L157" s="117"/>
    </row>
    <row r="158" spans="1:12" ht="10.25" customHeight="1" x14ac:dyDescent="0.15">
      <c r="A158" s="118" t="s">
        <v>229</v>
      </c>
      <c r="B158" s="111">
        <v>142</v>
      </c>
      <c r="C158" s="111">
        <v>2960</v>
      </c>
      <c r="D158" s="112">
        <v>20.8</v>
      </c>
      <c r="E158" s="111">
        <v>132</v>
      </c>
      <c r="F158" s="111">
        <v>128</v>
      </c>
      <c r="G158" s="111">
        <v>978</v>
      </c>
      <c r="H158" s="117"/>
      <c r="I158" s="117"/>
      <c r="J158" s="117"/>
      <c r="K158" s="117"/>
      <c r="L158" s="117"/>
    </row>
    <row r="159" spans="1:12" ht="10.25" customHeight="1" x14ac:dyDescent="0.15">
      <c r="A159" s="118" t="s">
        <v>230</v>
      </c>
      <c r="B159" s="111">
        <v>12</v>
      </c>
      <c r="C159" s="111">
        <v>443</v>
      </c>
      <c r="D159" s="112">
        <v>37.4</v>
      </c>
      <c r="E159" s="111">
        <v>26</v>
      </c>
      <c r="F159" s="111">
        <v>25</v>
      </c>
      <c r="G159" s="111" t="s">
        <v>182</v>
      </c>
      <c r="H159" s="117"/>
      <c r="I159" s="117"/>
      <c r="J159" s="117"/>
      <c r="K159" s="117"/>
      <c r="L159" s="117"/>
    </row>
    <row r="160" spans="1:12" ht="10.25" customHeight="1" x14ac:dyDescent="0.15">
      <c r="A160" s="118" t="s">
        <v>231</v>
      </c>
      <c r="B160" s="111">
        <v>910</v>
      </c>
      <c r="C160" s="111">
        <v>12120</v>
      </c>
      <c r="D160" s="112">
        <v>13.3</v>
      </c>
      <c r="E160" s="111">
        <v>512</v>
      </c>
      <c r="F160" s="111">
        <v>497</v>
      </c>
      <c r="G160" s="111">
        <v>3939</v>
      </c>
      <c r="H160" s="117"/>
      <c r="I160" s="117"/>
      <c r="J160" s="117"/>
      <c r="K160" s="117"/>
      <c r="L160" s="117"/>
    </row>
    <row r="161" spans="1:12" ht="10.25" customHeight="1" x14ac:dyDescent="0.15">
      <c r="A161" s="118" t="s">
        <v>232</v>
      </c>
      <c r="B161" s="111">
        <v>840</v>
      </c>
      <c r="C161" s="111">
        <v>18077</v>
      </c>
      <c r="D161" s="112">
        <v>21.5</v>
      </c>
      <c r="E161" s="111">
        <v>732</v>
      </c>
      <c r="F161" s="111">
        <v>710</v>
      </c>
      <c r="G161" s="111">
        <v>5734</v>
      </c>
      <c r="H161" s="117"/>
      <c r="I161" s="117"/>
      <c r="J161" s="117"/>
      <c r="K161" s="117"/>
      <c r="L161" s="117"/>
    </row>
    <row r="162" spans="1:12" ht="10.25" customHeight="1" x14ac:dyDescent="0.15">
      <c r="A162" s="114"/>
      <c r="B162" s="111"/>
      <c r="C162" s="111"/>
      <c r="D162" s="112"/>
      <c r="E162" s="111"/>
      <c r="F162" s="111"/>
      <c r="G162" s="111"/>
      <c r="H162" s="117"/>
      <c r="I162" s="117"/>
      <c r="J162" s="117"/>
      <c r="K162" s="117"/>
      <c r="L162" s="117"/>
    </row>
    <row r="163" spans="1:12" ht="10.25" customHeight="1" x14ac:dyDescent="0.15">
      <c r="A163" s="115" t="s">
        <v>233</v>
      </c>
      <c r="B163" s="111"/>
      <c r="C163" s="111"/>
      <c r="D163" s="112"/>
      <c r="E163" s="111"/>
      <c r="F163" s="111"/>
      <c r="G163" s="111"/>
      <c r="H163" s="117"/>
      <c r="I163" s="117"/>
      <c r="J163" s="117"/>
      <c r="K163" s="117"/>
      <c r="L163" s="117"/>
    </row>
    <row r="164" spans="1:12" ht="10.25" customHeight="1" x14ac:dyDescent="0.15">
      <c r="A164" s="115" t="s">
        <v>234</v>
      </c>
      <c r="B164" s="111"/>
      <c r="C164" s="111"/>
      <c r="D164" s="112"/>
      <c r="E164" s="111"/>
      <c r="F164" s="111"/>
      <c r="G164" s="111"/>
      <c r="H164" s="117"/>
      <c r="I164" s="117"/>
      <c r="J164" s="117"/>
      <c r="K164" s="117"/>
      <c r="L164" s="117"/>
    </row>
    <row r="165" spans="1:12" ht="10.25" customHeight="1" x14ac:dyDescent="0.15">
      <c r="A165" s="118" t="s">
        <v>235</v>
      </c>
      <c r="B165" s="111">
        <v>2390</v>
      </c>
      <c r="C165" s="111">
        <v>43461</v>
      </c>
      <c r="D165" s="112">
        <v>18.2</v>
      </c>
      <c r="E165" s="111">
        <v>1927</v>
      </c>
      <c r="F165" s="111">
        <v>1869</v>
      </c>
      <c r="G165" s="111">
        <v>14523</v>
      </c>
      <c r="H165" s="117"/>
      <c r="I165" s="117"/>
      <c r="J165" s="117"/>
      <c r="K165" s="117"/>
      <c r="L165" s="117"/>
    </row>
    <row r="166" spans="1:12" ht="10.25" customHeight="1" x14ac:dyDescent="0.15">
      <c r="A166" s="118" t="s">
        <v>236</v>
      </c>
      <c r="B166" s="111">
        <v>2391</v>
      </c>
      <c r="C166" s="111">
        <v>43468</v>
      </c>
      <c r="D166" s="112">
        <v>18.2</v>
      </c>
      <c r="E166" s="111">
        <v>1928</v>
      </c>
      <c r="F166" s="111">
        <v>1870</v>
      </c>
      <c r="G166" s="111">
        <v>14525</v>
      </c>
      <c r="H166" s="117"/>
      <c r="I166" s="117"/>
      <c r="J166" s="117"/>
      <c r="K166" s="117"/>
      <c r="L166" s="117"/>
    </row>
    <row r="167" spans="1:12" ht="10.25" customHeight="1" x14ac:dyDescent="0.15">
      <c r="A167" s="118" t="s">
        <v>237</v>
      </c>
      <c r="B167" s="111">
        <v>129</v>
      </c>
      <c r="C167" s="111">
        <v>10383</v>
      </c>
      <c r="D167" s="112">
        <v>80.400000000000006</v>
      </c>
      <c r="E167" s="111">
        <v>507</v>
      </c>
      <c r="F167" s="111">
        <v>492</v>
      </c>
      <c r="G167" s="111">
        <v>3539</v>
      </c>
      <c r="H167" s="117"/>
      <c r="I167" s="117"/>
      <c r="J167" s="117"/>
      <c r="K167" s="117"/>
      <c r="L167" s="117"/>
    </row>
    <row r="168" spans="1:12" ht="10.25" customHeight="1" x14ac:dyDescent="0.15">
      <c r="A168" s="118" t="s">
        <v>238</v>
      </c>
      <c r="B168" s="111">
        <v>25</v>
      </c>
      <c r="C168" s="111">
        <v>2444</v>
      </c>
      <c r="D168" s="112">
        <v>99.5</v>
      </c>
      <c r="E168" s="111">
        <v>47</v>
      </c>
      <c r="F168" s="111">
        <v>46</v>
      </c>
      <c r="G168" s="111">
        <v>323</v>
      </c>
      <c r="H168" s="117"/>
      <c r="I168" s="117"/>
      <c r="J168" s="117"/>
      <c r="K168" s="117"/>
      <c r="L168" s="117"/>
    </row>
    <row r="169" spans="1:12" ht="10.25" customHeight="1" x14ac:dyDescent="0.15">
      <c r="A169" s="118" t="s">
        <v>239</v>
      </c>
      <c r="B169" s="111">
        <v>17</v>
      </c>
      <c r="C169" s="111">
        <v>1765</v>
      </c>
      <c r="D169" s="112">
        <v>101.7</v>
      </c>
      <c r="E169" s="111">
        <v>35</v>
      </c>
      <c r="F169" s="111">
        <v>34</v>
      </c>
      <c r="G169" s="111">
        <v>244</v>
      </c>
      <c r="H169" s="117"/>
      <c r="I169" s="117"/>
      <c r="J169" s="117"/>
      <c r="K169" s="117"/>
      <c r="L169" s="117"/>
    </row>
    <row r="170" spans="1:12" ht="10.25" customHeight="1" x14ac:dyDescent="0.15">
      <c r="A170" s="118" t="s">
        <v>240</v>
      </c>
      <c r="B170" s="111">
        <v>47</v>
      </c>
      <c r="C170" s="111">
        <v>2470</v>
      </c>
      <c r="D170" s="112">
        <v>52.7</v>
      </c>
      <c r="E170" s="111">
        <v>106</v>
      </c>
      <c r="F170" s="111">
        <v>103</v>
      </c>
      <c r="G170" s="111">
        <v>751</v>
      </c>
      <c r="H170" s="117"/>
      <c r="I170" s="117"/>
      <c r="J170" s="117"/>
      <c r="K170" s="117"/>
      <c r="L170" s="117"/>
    </row>
    <row r="171" spans="1:12" ht="10.25" customHeight="1" x14ac:dyDescent="0.15">
      <c r="A171" s="118" t="s">
        <v>116</v>
      </c>
      <c r="B171" s="111">
        <v>39</v>
      </c>
      <c r="C171" s="111">
        <v>903</v>
      </c>
      <c r="D171" s="112">
        <v>23.4</v>
      </c>
      <c r="E171" s="111">
        <v>47</v>
      </c>
      <c r="F171" s="111">
        <v>46</v>
      </c>
      <c r="G171" s="111">
        <v>330</v>
      </c>
      <c r="H171" s="117"/>
      <c r="I171" s="117"/>
      <c r="J171" s="117"/>
      <c r="K171" s="117"/>
      <c r="L171" s="117"/>
    </row>
    <row r="172" spans="1:12" ht="10.25" customHeight="1" x14ac:dyDescent="0.15">
      <c r="A172" s="115"/>
      <c r="B172" s="111"/>
      <c r="C172" s="111"/>
      <c r="D172" s="112"/>
      <c r="E172" s="111"/>
      <c r="F172" s="111"/>
      <c r="G172" s="111"/>
      <c r="H172" s="117"/>
      <c r="I172" s="117"/>
      <c r="J172" s="117"/>
      <c r="K172" s="117"/>
      <c r="L172" s="117"/>
    </row>
    <row r="173" spans="1:12" ht="10.25" customHeight="1" x14ac:dyDescent="0.15">
      <c r="A173" s="115" t="s">
        <v>241</v>
      </c>
      <c r="B173" s="111"/>
      <c r="C173" s="111"/>
      <c r="D173" s="112"/>
      <c r="E173" s="111"/>
      <c r="F173" s="111"/>
      <c r="G173" s="111"/>
      <c r="H173" s="117"/>
      <c r="I173" s="117"/>
      <c r="J173" s="117"/>
      <c r="K173" s="117"/>
      <c r="L173" s="117"/>
    </row>
    <row r="174" spans="1:12" ht="10.25" customHeight="1" x14ac:dyDescent="0.15">
      <c r="A174" s="118" t="s">
        <v>236</v>
      </c>
      <c r="B174" s="111">
        <v>2165</v>
      </c>
      <c r="C174" s="111">
        <v>36959</v>
      </c>
      <c r="D174" s="112">
        <v>17.100000000000001</v>
      </c>
      <c r="E174" s="111">
        <v>1803</v>
      </c>
      <c r="F174" s="111">
        <v>1749</v>
      </c>
      <c r="G174" s="111">
        <v>13515</v>
      </c>
      <c r="H174" s="117"/>
      <c r="I174" s="117"/>
      <c r="J174" s="117"/>
      <c r="K174" s="117"/>
      <c r="L174" s="117"/>
    </row>
    <row r="175" spans="1:12" ht="10.25" customHeight="1" x14ac:dyDescent="0.15">
      <c r="A175" s="118" t="s">
        <v>385</v>
      </c>
      <c r="B175" s="111">
        <v>1999</v>
      </c>
      <c r="C175" s="111">
        <v>32970</v>
      </c>
      <c r="D175" s="112">
        <v>16.5</v>
      </c>
      <c r="E175" s="111">
        <v>1687</v>
      </c>
      <c r="F175" s="111">
        <v>1636</v>
      </c>
      <c r="G175" s="111">
        <v>12586</v>
      </c>
      <c r="H175" s="117"/>
      <c r="I175" s="117"/>
      <c r="J175" s="117"/>
      <c r="K175" s="117"/>
      <c r="L175" s="117"/>
    </row>
    <row r="176" spans="1:12" ht="10.25" customHeight="1" x14ac:dyDescent="0.15">
      <c r="A176" s="118" t="s">
        <v>386</v>
      </c>
      <c r="B176" s="111">
        <v>166</v>
      </c>
      <c r="C176" s="111">
        <v>3989</v>
      </c>
      <c r="D176" s="112">
        <v>24</v>
      </c>
      <c r="E176" s="111">
        <v>116</v>
      </c>
      <c r="F176" s="111">
        <v>113</v>
      </c>
      <c r="G176" s="111">
        <v>929</v>
      </c>
      <c r="H176" s="117"/>
      <c r="I176" s="117"/>
      <c r="J176" s="117"/>
      <c r="K176" s="117"/>
      <c r="L176" s="117"/>
    </row>
    <row r="177" spans="1:12" ht="10.25" customHeight="1" x14ac:dyDescent="0.15">
      <c r="A177" s="118" t="s">
        <v>387</v>
      </c>
      <c r="B177" s="111">
        <v>179</v>
      </c>
      <c r="C177" s="111">
        <v>6015</v>
      </c>
      <c r="D177" s="112">
        <v>33.6</v>
      </c>
      <c r="E177" s="111">
        <v>106</v>
      </c>
      <c r="F177" s="111">
        <v>103</v>
      </c>
      <c r="G177" s="111">
        <v>862</v>
      </c>
      <c r="H177" s="117"/>
      <c r="I177" s="117"/>
      <c r="J177" s="117"/>
      <c r="K177" s="117"/>
      <c r="L177" s="117"/>
    </row>
    <row r="178" spans="1:12" ht="10.25" customHeight="1" x14ac:dyDescent="0.15">
      <c r="A178" s="118" t="s">
        <v>245</v>
      </c>
      <c r="B178" s="111">
        <v>47</v>
      </c>
      <c r="C178" s="111">
        <v>494</v>
      </c>
      <c r="D178" s="112">
        <v>10.6</v>
      </c>
      <c r="E178" s="111" t="s">
        <v>182</v>
      </c>
      <c r="F178" s="111" t="s">
        <v>182</v>
      </c>
      <c r="G178" s="111" t="s">
        <v>182</v>
      </c>
      <c r="H178" s="117"/>
      <c r="I178" s="117"/>
      <c r="J178" s="117"/>
      <c r="K178" s="117"/>
      <c r="L178" s="117"/>
    </row>
    <row r="179" spans="1:12" ht="10.25" customHeight="1" x14ac:dyDescent="0.15">
      <c r="A179" s="114"/>
      <c r="B179" s="111"/>
      <c r="C179" s="111"/>
      <c r="D179" s="112"/>
      <c r="E179" s="111"/>
      <c r="F179" s="111"/>
      <c r="G179" s="111"/>
      <c r="H179" s="117"/>
      <c r="I179" s="117"/>
      <c r="J179" s="117"/>
      <c r="K179" s="117"/>
      <c r="L179" s="117"/>
    </row>
    <row r="180" spans="1:12" ht="10.25" customHeight="1" x14ac:dyDescent="0.15">
      <c r="A180" s="115" t="s">
        <v>246</v>
      </c>
      <c r="B180" s="111"/>
      <c r="C180" s="111"/>
      <c r="D180" s="112"/>
      <c r="E180" s="111"/>
      <c r="F180" s="111"/>
      <c r="G180" s="111"/>
      <c r="H180" s="117"/>
      <c r="I180" s="117"/>
      <c r="J180" s="117"/>
      <c r="K180" s="117"/>
      <c r="L180" s="117"/>
    </row>
    <row r="181" spans="1:12" ht="10.25" customHeight="1" x14ac:dyDescent="0.15">
      <c r="A181" s="115" t="s">
        <v>247</v>
      </c>
      <c r="B181" s="111"/>
      <c r="C181" s="111"/>
      <c r="D181" s="112"/>
      <c r="E181" s="111"/>
      <c r="F181" s="111"/>
      <c r="G181" s="111"/>
      <c r="H181" s="117"/>
      <c r="I181" s="117"/>
      <c r="J181" s="117"/>
      <c r="K181" s="117"/>
      <c r="L181" s="117"/>
    </row>
    <row r="182" spans="1:12" ht="10.25" customHeight="1" x14ac:dyDescent="0.15">
      <c r="A182" s="118" t="s">
        <v>235</v>
      </c>
      <c r="B182" s="111">
        <v>281</v>
      </c>
      <c r="C182" s="111">
        <v>6162</v>
      </c>
      <c r="D182" s="112">
        <v>21.9</v>
      </c>
      <c r="E182" s="111">
        <v>177</v>
      </c>
      <c r="F182" s="111">
        <v>171</v>
      </c>
      <c r="G182" s="111">
        <v>1434</v>
      </c>
      <c r="H182" s="117"/>
      <c r="I182" s="117"/>
      <c r="J182" s="117"/>
      <c r="K182" s="117"/>
      <c r="L182" s="117"/>
    </row>
    <row r="183" spans="1:12" ht="10.25" customHeight="1" x14ac:dyDescent="0.15">
      <c r="A183" s="118" t="s">
        <v>236</v>
      </c>
      <c r="B183" s="111">
        <v>1999</v>
      </c>
      <c r="C183" s="111">
        <v>32970</v>
      </c>
      <c r="D183" s="112">
        <v>16.5</v>
      </c>
      <c r="E183" s="111">
        <v>1687</v>
      </c>
      <c r="F183" s="111">
        <v>1636</v>
      </c>
      <c r="G183" s="111">
        <v>12586</v>
      </c>
      <c r="H183" s="117"/>
      <c r="I183" s="117"/>
      <c r="J183" s="117"/>
      <c r="K183" s="117"/>
      <c r="L183" s="117"/>
    </row>
    <row r="184" spans="1:12" ht="10.25" customHeight="1" x14ac:dyDescent="0.15">
      <c r="A184" s="118" t="s">
        <v>237</v>
      </c>
      <c r="B184" s="111">
        <v>38</v>
      </c>
      <c r="C184" s="111" t="s">
        <v>182</v>
      </c>
      <c r="D184" s="112">
        <v>42.3</v>
      </c>
      <c r="E184" s="111">
        <v>20</v>
      </c>
      <c r="F184" s="111">
        <v>20</v>
      </c>
      <c r="G184" s="111">
        <v>162</v>
      </c>
      <c r="H184" s="117"/>
      <c r="I184" s="117"/>
      <c r="J184" s="117"/>
      <c r="K184" s="117"/>
      <c r="L184" s="117"/>
    </row>
    <row r="185" spans="1:12" ht="10.25" customHeight="1" x14ac:dyDescent="0.15">
      <c r="A185" s="118" t="s">
        <v>238</v>
      </c>
      <c r="B185" s="111">
        <v>24</v>
      </c>
      <c r="C185" s="111">
        <v>2117</v>
      </c>
      <c r="D185" s="112">
        <v>90</v>
      </c>
      <c r="E185" s="111">
        <v>23</v>
      </c>
      <c r="F185" s="111">
        <v>22</v>
      </c>
      <c r="G185" s="111">
        <v>172</v>
      </c>
      <c r="H185" s="117"/>
      <c r="I185" s="117"/>
      <c r="J185" s="117"/>
      <c r="K185" s="117"/>
      <c r="L185" s="117"/>
    </row>
    <row r="186" spans="1:12" ht="10.25" customHeight="1" x14ac:dyDescent="0.15">
      <c r="A186" s="118" t="s">
        <v>240</v>
      </c>
      <c r="B186" s="111" t="s">
        <v>182</v>
      </c>
      <c r="C186" s="111" t="s">
        <v>182</v>
      </c>
      <c r="D186" s="112" t="s">
        <v>182</v>
      </c>
      <c r="E186" s="111" t="s">
        <v>182</v>
      </c>
      <c r="F186" s="111" t="s">
        <v>182</v>
      </c>
      <c r="G186" s="111" t="s">
        <v>182</v>
      </c>
      <c r="H186" s="117"/>
      <c r="I186" s="117"/>
      <c r="J186" s="117"/>
      <c r="K186" s="117"/>
      <c r="L186" s="117"/>
    </row>
    <row r="187" spans="1:12" ht="10.25" customHeight="1" x14ac:dyDescent="0.15">
      <c r="A187" s="118" t="s">
        <v>116</v>
      </c>
      <c r="B187" s="111" t="s">
        <v>182</v>
      </c>
      <c r="C187" s="111" t="s">
        <v>182</v>
      </c>
      <c r="D187" s="112" t="s">
        <v>182</v>
      </c>
      <c r="E187" s="111" t="s">
        <v>182</v>
      </c>
      <c r="F187" s="111" t="s">
        <v>182</v>
      </c>
      <c r="G187" s="111" t="s">
        <v>182</v>
      </c>
      <c r="H187" s="117"/>
      <c r="I187" s="117"/>
      <c r="J187" s="117"/>
      <c r="K187" s="117"/>
      <c r="L187" s="117"/>
    </row>
    <row r="188" spans="1:12" ht="10.25" customHeight="1" x14ac:dyDescent="0.15">
      <c r="A188" s="114"/>
      <c r="B188" s="111"/>
      <c r="C188" s="111"/>
      <c r="D188" s="112"/>
      <c r="E188" s="111"/>
      <c r="F188" s="111"/>
      <c r="G188" s="111"/>
      <c r="H188" s="117"/>
      <c r="I188" s="117"/>
      <c r="J188" s="117"/>
      <c r="K188" s="117"/>
      <c r="L188" s="117"/>
    </row>
    <row r="189" spans="1:12" ht="10.25" customHeight="1" x14ac:dyDescent="0.15">
      <c r="A189" s="115" t="s">
        <v>248</v>
      </c>
      <c r="B189" s="111"/>
      <c r="C189" s="111"/>
      <c r="D189" s="112"/>
      <c r="E189" s="111"/>
      <c r="F189" s="111"/>
      <c r="G189" s="111"/>
      <c r="H189" s="117"/>
      <c r="I189" s="117"/>
      <c r="J189" s="117"/>
      <c r="K189" s="117"/>
      <c r="L189" s="117"/>
    </row>
    <row r="190" spans="1:12" ht="10.25" customHeight="1" x14ac:dyDescent="0.15">
      <c r="A190" s="118" t="s">
        <v>236</v>
      </c>
      <c r="B190" s="111">
        <v>17</v>
      </c>
      <c r="C190" s="111">
        <v>1018</v>
      </c>
      <c r="D190" s="112">
        <v>58.9</v>
      </c>
      <c r="E190" s="111">
        <v>92</v>
      </c>
      <c r="F190" s="111">
        <v>89</v>
      </c>
      <c r="G190" s="111">
        <v>672</v>
      </c>
      <c r="H190" s="117"/>
      <c r="I190" s="117"/>
      <c r="J190" s="117"/>
      <c r="K190" s="117"/>
      <c r="L190" s="117"/>
    </row>
    <row r="191" spans="1:12" ht="10.25" customHeight="1" x14ac:dyDescent="0.15">
      <c r="A191" s="118" t="s">
        <v>387</v>
      </c>
      <c r="B191" s="111">
        <v>2136</v>
      </c>
      <c r="C191" s="111">
        <v>40006</v>
      </c>
      <c r="D191" s="112">
        <v>18.7</v>
      </c>
      <c r="E191" s="111">
        <v>1729</v>
      </c>
      <c r="F191" s="111">
        <v>1677</v>
      </c>
      <c r="G191" s="111">
        <v>13046</v>
      </c>
      <c r="H191" s="117"/>
      <c r="I191" s="117"/>
      <c r="J191" s="117"/>
      <c r="K191" s="117"/>
      <c r="L191" s="117"/>
    </row>
    <row r="192" spans="1:12" ht="10.25" customHeight="1" x14ac:dyDescent="0.15">
      <c r="A192" s="118" t="s">
        <v>249</v>
      </c>
      <c r="B192" s="111">
        <v>238</v>
      </c>
      <c r="C192" s="111">
        <v>2444</v>
      </c>
      <c r="D192" s="112">
        <v>10.3</v>
      </c>
      <c r="E192" s="111">
        <v>107</v>
      </c>
      <c r="F192" s="111">
        <v>104</v>
      </c>
      <c r="G192" s="111">
        <v>807</v>
      </c>
      <c r="H192" s="117"/>
      <c r="I192" s="117"/>
      <c r="J192" s="117"/>
      <c r="K192" s="117"/>
      <c r="L192" s="117"/>
    </row>
    <row r="193" spans="1:12" ht="10.25" customHeight="1" x14ac:dyDescent="0.15">
      <c r="A193" s="114"/>
      <c r="B193" s="111"/>
      <c r="C193" s="111"/>
      <c r="D193" s="112"/>
      <c r="E193" s="111"/>
      <c r="F193" s="111"/>
      <c r="G193" s="111"/>
      <c r="H193" s="117"/>
      <c r="I193" s="117"/>
      <c r="J193" s="117"/>
      <c r="K193" s="117"/>
      <c r="L193" s="117"/>
    </row>
    <row r="194" spans="1:12" ht="10.25" customHeight="1" x14ac:dyDescent="0.15">
      <c r="A194" s="115" t="s">
        <v>250</v>
      </c>
      <c r="B194" s="111"/>
      <c r="C194" s="111"/>
      <c r="D194" s="112"/>
      <c r="E194" s="111"/>
      <c r="F194" s="111"/>
      <c r="G194" s="111"/>
      <c r="H194" s="117"/>
      <c r="I194" s="117"/>
      <c r="J194" s="117"/>
      <c r="K194" s="117"/>
      <c r="L194" s="117"/>
    </row>
    <row r="195" spans="1:12" ht="10.25" customHeight="1" x14ac:dyDescent="0.15">
      <c r="A195" s="118" t="s">
        <v>236</v>
      </c>
      <c r="B195" s="111">
        <v>1445</v>
      </c>
      <c r="C195" s="111">
        <v>28820</v>
      </c>
      <c r="D195" s="112">
        <v>19.899999999999999</v>
      </c>
      <c r="E195" s="111">
        <v>1509</v>
      </c>
      <c r="F195" s="111">
        <v>1463</v>
      </c>
      <c r="G195" s="111">
        <v>11092</v>
      </c>
      <c r="H195" s="117"/>
      <c r="I195" s="117"/>
      <c r="J195" s="117"/>
      <c r="K195" s="117"/>
      <c r="L195" s="117"/>
    </row>
    <row r="196" spans="1:12" ht="10.25" customHeight="1" x14ac:dyDescent="0.15">
      <c r="A196" s="118" t="s">
        <v>387</v>
      </c>
      <c r="B196" s="111">
        <v>681</v>
      </c>
      <c r="C196" s="111">
        <v>12313</v>
      </c>
      <c r="D196" s="112">
        <v>18.100000000000001</v>
      </c>
      <c r="E196" s="111">
        <v>361</v>
      </c>
      <c r="F196" s="111">
        <v>350</v>
      </c>
      <c r="G196" s="111">
        <v>2933</v>
      </c>
      <c r="H196" s="117"/>
      <c r="I196" s="117"/>
      <c r="J196" s="117"/>
      <c r="K196" s="117"/>
      <c r="L196" s="117"/>
    </row>
    <row r="197" spans="1:12" ht="10.25" customHeight="1" x14ac:dyDescent="0.15">
      <c r="A197" s="118" t="s">
        <v>251</v>
      </c>
      <c r="B197" s="111">
        <v>265</v>
      </c>
      <c r="C197" s="111">
        <v>2334</v>
      </c>
      <c r="D197" s="112">
        <v>8.8000000000000007</v>
      </c>
      <c r="E197" s="111">
        <v>57</v>
      </c>
      <c r="F197" s="111">
        <v>56</v>
      </c>
      <c r="G197" s="111">
        <v>500</v>
      </c>
      <c r="H197" s="117"/>
      <c r="I197" s="117"/>
      <c r="J197" s="117"/>
      <c r="K197" s="117"/>
      <c r="L197" s="117"/>
    </row>
    <row r="198" spans="1:12" ht="10.25" customHeight="1" x14ac:dyDescent="0.15">
      <c r="A198" s="114"/>
      <c r="B198" s="111"/>
      <c r="C198" s="111"/>
      <c r="D198" s="112"/>
      <c r="E198" s="111"/>
      <c r="F198" s="111"/>
      <c r="G198" s="111"/>
      <c r="H198" s="117"/>
      <c r="I198" s="117"/>
      <c r="J198" s="117"/>
      <c r="K198" s="117"/>
      <c r="L198" s="117"/>
    </row>
    <row r="199" spans="1:12" ht="10.25" customHeight="1" x14ac:dyDescent="0.15">
      <c r="A199" s="115" t="s">
        <v>252</v>
      </c>
      <c r="B199" s="111"/>
      <c r="C199" s="111"/>
      <c r="D199" s="112"/>
      <c r="E199" s="111"/>
      <c r="F199" s="111"/>
      <c r="G199" s="111"/>
      <c r="H199" s="117"/>
      <c r="I199" s="117"/>
      <c r="J199" s="117"/>
      <c r="K199" s="117"/>
      <c r="L199" s="117"/>
    </row>
    <row r="200" spans="1:12" ht="10.25" customHeight="1" x14ac:dyDescent="0.15">
      <c r="A200" s="118" t="s">
        <v>236</v>
      </c>
      <c r="B200" s="111">
        <v>457</v>
      </c>
      <c r="C200" s="111">
        <v>15438</v>
      </c>
      <c r="D200" s="112">
        <v>33.799999999999997</v>
      </c>
      <c r="E200" s="111">
        <v>856</v>
      </c>
      <c r="F200" s="111">
        <v>830</v>
      </c>
      <c r="G200" s="111">
        <v>6157</v>
      </c>
      <c r="H200" s="117"/>
      <c r="I200" s="117"/>
      <c r="J200" s="117"/>
      <c r="K200" s="117"/>
      <c r="L200" s="117"/>
    </row>
    <row r="201" spans="1:12" ht="10.25" customHeight="1" x14ac:dyDescent="0.15">
      <c r="A201" s="118" t="s">
        <v>387</v>
      </c>
      <c r="B201" s="111">
        <v>107</v>
      </c>
      <c r="C201" s="111">
        <v>3218</v>
      </c>
      <c r="D201" s="112">
        <v>30</v>
      </c>
      <c r="E201" s="111">
        <v>141</v>
      </c>
      <c r="F201" s="111">
        <v>137</v>
      </c>
      <c r="G201" s="111">
        <v>1007</v>
      </c>
      <c r="H201" s="117"/>
      <c r="I201" s="117"/>
      <c r="J201" s="117"/>
      <c r="K201" s="117"/>
      <c r="L201" s="117"/>
    </row>
    <row r="202" spans="1:12" ht="10.25" customHeight="1" x14ac:dyDescent="0.15">
      <c r="A202" s="118" t="s">
        <v>253</v>
      </c>
      <c r="B202" s="111">
        <v>1827</v>
      </c>
      <c r="C202" s="111">
        <v>24812</v>
      </c>
      <c r="D202" s="112">
        <v>13.6</v>
      </c>
      <c r="E202" s="111">
        <v>931</v>
      </c>
      <c r="F202" s="111">
        <v>903</v>
      </c>
      <c r="G202" s="111">
        <v>7361</v>
      </c>
      <c r="H202" s="117"/>
      <c r="I202" s="117"/>
      <c r="J202" s="117"/>
      <c r="K202" s="117"/>
      <c r="L202" s="117"/>
    </row>
    <row r="203" spans="1:12" ht="10.25" customHeight="1" x14ac:dyDescent="0.15">
      <c r="A203" s="114"/>
      <c r="B203" s="111"/>
      <c r="C203" s="111"/>
      <c r="D203" s="112"/>
      <c r="E203" s="111"/>
      <c r="F203" s="111"/>
      <c r="G203" s="111"/>
      <c r="H203" s="117"/>
      <c r="I203" s="117"/>
      <c r="J203" s="117"/>
      <c r="K203" s="117"/>
      <c r="L203" s="117"/>
    </row>
    <row r="204" spans="1:12" ht="10.25" customHeight="1" x14ac:dyDescent="0.15">
      <c r="A204" s="115" t="s">
        <v>254</v>
      </c>
      <c r="B204" s="111"/>
      <c r="C204" s="111"/>
      <c r="D204" s="112"/>
      <c r="E204" s="111"/>
      <c r="F204" s="111"/>
      <c r="G204" s="111"/>
      <c r="H204" s="117"/>
      <c r="I204" s="117"/>
      <c r="J204" s="117"/>
      <c r="K204" s="117"/>
      <c r="L204" s="117"/>
    </row>
    <row r="205" spans="1:12" ht="10.25" customHeight="1" x14ac:dyDescent="0.15">
      <c r="A205" s="115" t="s">
        <v>234</v>
      </c>
      <c r="B205" s="111"/>
      <c r="C205" s="111"/>
      <c r="D205" s="112"/>
      <c r="E205" s="111"/>
      <c r="F205" s="111"/>
      <c r="G205" s="111"/>
      <c r="H205" s="117"/>
      <c r="I205" s="117"/>
      <c r="J205" s="117"/>
      <c r="K205" s="117"/>
      <c r="L205" s="117"/>
    </row>
    <row r="206" spans="1:12" ht="10.25" customHeight="1" x14ac:dyDescent="0.15">
      <c r="A206" s="118" t="s">
        <v>255</v>
      </c>
      <c r="B206" s="111">
        <v>2344</v>
      </c>
      <c r="C206" s="111">
        <v>42974</v>
      </c>
      <c r="D206" s="112">
        <v>18.3</v>
      </c>
      <c r="E206" s="111">
        <v>1909</v>
      </c>
      <c r="F206" s="111">
        <v>1852</v>
      </c>
      <c r="G206" s="111">
        <v>14377</v>
      </c>
      <c r="H206" s="117"/>
      <c r="I206" s="117"/>
      <c r="J206" s="117"/>
      <c r="K206" s="117"/>
      <c r="L206" s="117"/>
    </row>
    <row r="207" spans="1:12" ht="10.25" customHeight="1" x14ac:dyDescent="0.15">
      <c r="A207" s="118" t="s">
        <v>256</v>
      </c>
      <c r="B207" s="111">
        <v>2153</v>
      </c>
      <c r="C207" s="111">
        <v>41023</v>
      </c>
      <c r="D207" s="112">
        <v>19.100000000000001</v>
      </c>
      <c r="E207" s="111">
        <v>1821</v>
      </c>
      <c r="F207" s="111">
        <v>1766</v>
      </c>
      <c r="G207" s="111">
        <v>13718</v>
      </c>
      <c r="H207" s="117"/>
      <c r="I207" s="117"/>
      <c r="J207" s="117"/>
      <c r="K207" s="117"/>
      <c r="L207" s="117"/>
    </row>
    <row r="208" spans="1:12" ht="10.25" customHeight="1" x14ac:dyDescent="0.15">
      <c r="A208" s="118" t="s">
        <v>257</v>
      </c>
      <c r="B208" s="111">
        <v>2126</v>
      </c>
      <c r="C208" s="111">
        <v>41134</v>
      </c>
      <c r="D208" s="112">
        <v>19.3</v>
      </c>
      <c r="E208" s="111">
        <v>1870</v>
      </c>
      <c r="F208" s="111">
        <v>1814</v>
      </c>
      <c r="G208" s="111">
        <v>14025</v>
      </c>
      <c r="H208" s="117"/>
      <c r="I208" s="117"/>
      <c r="J208" s="117"/>
      <c r="K208" s="117"/>
      <c r="L208" s="117"/>
    </row>
    <row r="209" spans="1:12" ht="10.25" customHeight="1" x14ac:dyDescent="0.15">
      <c r="A209" s="118" t="s">
        <v>258</v>
      </c>
      <c r="B209" s="111">
        <v>564</v>
      </c>
      <c r="C209" s="111">
        <v>18656</v>
      </c>
      <c r="D209" s="112">
        <v>33.1</v>
      </c>
      <c r="E209" s="111">
        <v>997</v>
      </c>
      <c r="F209" s="111">
        <v>967</v>
      </c>
      <c r="G209" s="111">
        <v>7163</v>
      </c>
      <c r="H209" s="117"/>
      <c r="I209" s="117"/>
      <c r="J209" s="117"/>
      <c r="K209" s="117"/>
      <c r="L209" s="117"/>
    </row>
    <row r="210" spans="1:12" ht="10.25" customHeight="1" x14ac:dyDescent="0.15">
      <c r="A210" s="118" t="s">
        <v>259</v>
      </c>
      <c r="B210" s="111">
        <v>70</v>
      </c>
      <c r="C210" s="111">
        <v>2301</v>
      </c>
      <c r="D210" s="112">
        <v>33.1</v>
      </c>
      <c r="E210" s="111">
        <v>100</v>
      </c>
      <c r="F210" s="111">
        <v>97</v>
      </c>
      <c r="G210" s="111">
        <v>718</v>
      </c>
      <c r="H210" s="117"/>
      <c r="I210" s="117"/>
      <c r="J210" s="117"/>
      <c r="K210" s="117"/>
      <c r="L210" s="117"/>
    </row>
    <row r="211" spans="1:12" ht="10.25" customHeight="1" x14ac:dyDescent="0.15">
      <c r="A211" s="114" t="s">
        <v>260</v>
      </c>
      <c r="B211" s="111"/>
      <c r="C211" s="111"/>
      <c r="D211" s="112"/>
      <c r="E211" s="111"/>
      <c r="F211" s="111"/>
      <c r="G211" s="111"/>
      <c r="H211" s="117"/>
      <c r="I211" s="117"/>
      <c r="J211" s="117"/>
      <c r="K211" s="117"/>
      <c r="L211" s="117"/>
    </row>
    <row r="212" spans="1:12" ht="10.25" customHeight="1" x14ac:dyDescent="0.15">
      <c r="A212" s="118" t="s">
        <v>261</v>
      </c>
      <c r="B212" s="111">
        <v>104</v>
      </c>
      <c r="C212" s="111">
        <v>10402</v>
      </c>
      <c r="D212" s="112">
        <v>99.7</v>
      </c>
      <c r="E212" s="111">
        <v>534</v>
      </c>
      <c r="F212" s="111">
        <v>518</v>
      </c>
      <c r="G212" s="111">
        <v>3718</v>
      </c>
      <c r="H212" s="117"/>
      <c r="I212" s="117"/>
      <c r="J212" s="117"/>
      <c r="K212" s="117"/>
      <c r="L212" s="117"/>
    </row>
    <row r="213" spans="1:12" ht="10.25" customHeight="1" x14ac:dyDescent="0.15">
      <c r="A213" s="114"/>
      <c r="B213" s="111"/>
      <c r="C213" s="111"/>
      <c r="D213" s="112"/>
      <c r="E213" s="111"/>
      <c r="F213" s="111"/>
      <c r="G213" s="111"/>
      <c r="H213" s="117"/>
      <c r="I213" s="117"/>
      <c r="J213" s="117"/>
      <c r="K213" s="117"/>
      <c r="L213" s="117"/>
    </row>
    <row r="214" spans="1:12" ht="10.25" customHeight="1" x14ac:dyDescent="0.15">
      <c r="A214" s="115" t="s">
        <v>262</v>
      </c>
      <c r="B214" s="111"/>
      <c r="C214" s="111"/>
      <c r="D214" s="112"/>
      <c r="E214" s="111"/>
      <c r="F214" s="111"/>
      <c r="G214" s="111"/>
      <c r="H214" s="117"/>
      <c r="I214" s="117"/>
      <c r="J214" s="117"/>
      <c r="K214" s="117"/>
      <c r="L214" s="117"/>
    </row>
    <row r="215" spans="1:12" ht="10.25" customHeight="1" x14ac:dyDescent="0.15">
      <c r="A215" s="118" t="s">
        <v>263</v>
      </c>
      <c r="B215" s="111">
        <v>47</v>
      </c>
      <c r="C215" s="111">
        <v>494</v>
      </c>
      <c r="D215" s="112">
        <v>10.6</v>
      </c>
      <c r="E215" s="111" t="s">
        <v>182</v>
      </c>
      <c r="F215" s="111" t="s">
        <v>182</v>
      </c>
      <c r="G215" s="111" t="s">
        <v>182</v>
      </c>
      <c r="H215" s="117"/>
      <c r="I215" s="117"/>
      <c r="J215" s="117"/>
      <c r="K215" s="117"/>
      <c r="L215" s="117"/>
    </row>
    <row r="216" spans="1:12" ht="10.25" customHeight="1" x14ac:dyDescent="0.15">
      <c r="A216" s="118" t="s">
        <v>264</v>
      </c>
      <c r="B216" s="111">
        <v>231</v>
      </c>
      <c r="C216" s="111">
        <v>4006</v>
      </c>
      <c r="D216" s="112">
        <v>17.399999999999999</v>
      </c>
      <c r="E216" s="111">
        <v>97</v>
      </c>
      <c r="F216" s="111">
        <v>94</v>
      </c>
      <c r="G216" s="111">
        <v>831</v>
      </c>
      <c r="H216" s="117"/>
      <c r="I216" s="117"/>
      <c r="J216" s="117"/>
      <c r="K216" s="117"/>
      <c r="L216" s="117"/>
    </row>
    <row r="217" spans="1:12" ht="10.25" customHeight="1" x14ac:dyDescent="0.15">
      <c r="A217" s="118" t="s">
        <v>265</v>
      </c>
      <c r="B217" s="111">
        <v>317</v>
      </c>
      <c r="C217" s="111">
        <v>5965</v>
      </c>
      <c r="D217" s="112">
        <v>18.8</v>
      </c>
      <c r="E217" s="111">
        <v>268</v>
      </c>
      <c r="F217" s="111">
        <v>260</v>
      </c>
      <c r="G217" s="111">
        <v>2078</v>
      </c>
      <c r="H217" s="117"/>
      <c r="I217" s="117"/>
      <c r="J217" s="117"/>
      <c r="K217" s="117"/>
      <c r="L217" s="117"/>
    </row>
    <row r="218" spans="1:12" ht="10.25" customHeight="1" x14ac:dyDescent="0.15">
      <c r="A218" s="118" t="s">
        <v>266</v>
      </c>
      <c r="B218" s="111">
        <v>1796</v>
      </c>
      <c r="C218" s="111">
        <v>33002</v>
      </c>
      <c r="D218" s="112">
        <v>18.399999999999999</v>
      </c>
      <c r="E218" s="111">
        <v>1544</v>
      </c>
      <c r="F218" s="111">
        <v>1498</v>
      </c>
      <c r="G218" s="111">
        <v>11468</v>
      </c>
      <c r="H218" s="117"/>
      <c r="I218" s="117"/>
      <c r="J218" s="117"/>
      <c r="K218" s="117"/>
      <c r="L218" s="117"/>
    </row>
    <row r="219" spans="1:12" ht="10.25" customHeight="1" x14ac:dyDescent="0.15">
      <c r="A219" s="114"/>
      <c r="B219" s="111"/>
      <c r="C219" s="111"/>
      <c r="D219" s="112"/>
      <c r="E219" s="111"/>
      <c r="F219" s="111"/>
      <c r="G219" s="111"/>
      <c r="H219" s="117"/>
      <c r="I219" s="117"/>
      <c r="J219" s="117"/>
      <c r="K219" s="117"/>
      <c r="L219" s="117"/>
    </row>
    <row r="220" spans="1:12" ht="10.25" customHeight="1" x14ac:dyDescent="0.15">
      <c r="A220" s="115" t="s">
        <v>267</v>
      </c>
      <c r="B220" s="111"/>
      <c r="C220" s="111"/>
      <c r="D220" s="112"/>
      <c r="E220" s="111"/>
      <c r="F220" s="111"/>
      <c r="G220" s="111"/>
      <c r="H220" s="117"/>
      <c r="I220" s="117"/>
      <c r="J220" s="117"/>
      <c r="K220" s="117"/>
      <c r="L220" s="117"/>
    </row>
    <row r="221" spans="1:12" ht="10.25" customHeight="1" x14ac:dyDescent="0.15">
      <c r="A221" s="118" t="s">
        <v>268</v>
      </c>
      <c r="B221" s="111">
        <v>238</v>
      </c>
      <c r="C221" s="111">
        <v>2444</v>
      </c>
      <c r="D221" s="112">
        <v>10.3</v>
      </c>
      <c r="E221" s="111">
        <v>107</v>
      </c>
      <c r="F221" s="111">
        <v>104</v>
      </c>
      <c r="G221" s="111">
        <v>807</v>
      </c>
      <c r="H221" s="117"/>
      <c r="I221" s="117"/>
      <c r="J221" s="117"/>
      <c r="K221" s="117"/>
      <c r="L221" s="117"/>
    </row>
    <row r="222" spans="1:12" ht="10.25" customHeight="1" x14ac:dyDescent="0.15">
      <c r="A222" s="118" t="s">
        <v>264</v>
      </c>
      <c r="B222" s="111">
        <v>601</v>
      </c>
      <c r="C222" s="111">
        <v>12132</v>
      </c>
      <c r="D222" s="111">
        <v>20.2</v>
      </c>
      <c r="E222" s="111">
        <v>452</v>
      </c>
      <c r="F222" s="111">
        <v>438</v>
      </c>
      <c r="G222" s="111">
        <v>3465</v>
      </c>
      <c r="H222" s="117"/>
      <c r="I222" s="117"/>
      <c r="J222" s="117"/>
      <c r="K222" s="117"/>
      <c r="L222" s="117"/>
    </row>
    <row r="223" spans="1:12" ht="10.25" customHeight="1" x14ac:dyDescent="0.15">
      <c r="A223" s="118" t="s">
        <v>265</v>
      </c>
      <c r="B223" s="111">
        <v>402</v>
      </c>
      <c r="C223" s="111">
        <v>9732</v>
      </c>
      <c r="D223" s="111">
        <v>24.2</v>
      </c>
      <c r="E223" s="111">
        <v>451</v>
      </c>
      <c r="F223" s="111">
        <v>438</v>
      </c>
      <c r="G223" s="111">
        <v>3341</v>
      </c>
      <c r="H223" s="117"/>
      <c r="I223" s="117"/>
      <c r="J223" s="117"/>
      <c r="K223" s="117"/>
      <c r="L223" s="117"/>
    </row>
    <row r="224" spans="1:12" ht="10.25" customHeight="1" x14ac:dyDescent="0.15">
      <c r="A224" s="118" t="s">
        <v>266</v>
      </c>
      <c r="B224" s="111">
        <v>1150</v>
      </c>
      <c r="C224" s="111">
        <v>19159</v>
      </c>
      <c r="D224" s="111">
        <v>16.7</v>
      </c>
      <c r="E224" s="111">
        <v>918</v>
      </c>
      <c r="F224" s="111">
        <v>890</v>
      </c>
      <c r="G224" s="111">
        <v>6912</v>
      </c>
      <c r="H224" s="117"/>
      <c r="I224" s="117"/>
      <c r="J224" s="117"/>
      <c r="K224" s="117"/>
      <c r="L224" s="117"/>
    </row>
    <row r="225" spans="1:12" ht="10.25" customHeight="1" x14ac:dyDescent="0.15">
      <c r="A225" s="114"/>
      <c r="B225" s="111"/>
      <c r="C225" s="111"/>
      <c r="D225" s="111"/>
      <c r="E225" s="111"/>
      <c r="F225" s="111"/>
      <c r="G225" s="111"/>
      <c r="H225" s="117"/>
      <c r="I225" s="117"/>
      <c r="J225" s="117"/>
      <c r="K225" s="117"/>
      <c r="L225" s="117"/>
    </row>
    <row r="226" spans="1:12" ht="10.25" customHeight="1" x14ac:dyDescent="0.15">
      <c r="A226" s="115" t="s">
        <v>276</v>
      </c>
      <c r="B226" s="111"/>
      <c r="C226" s="111"/>
      <c r="D226" s="111"/>
      <c r="E226" s="111"/>
      <c r="F226" s="111"/>
      <c r="G226" s="111"/>
      <c r="H226" s="117"/>
      <c r="I226" s="117"/>
      <c r="J226" s="117"/>
      <c r="K226" s="117"/>
      <c r="L226" s="117"/>
    </row>
    <row r="227" spans="1:12" ht="10.25" customHeight="1" x14ac:dyDescent="0.15">
      <c r="A227" s="115" t="s">
        <v>277</v>
      </c>
      <c r="B227" s="111"/>
      <c r="C227" s="111"/>
      <c r="D227" s="111"/>
      <c r="E227" s="111"/>
      <c r="F227" s="111"/>
      <c r="G227" s="111"/>
      <c r="H227" s="117"/>
      <c r="I227" s="117"/>
      <c r="J227" s="117"/>
      <c r="K227" s="117"/>
      <c r="L227" s="117"/>
    </row>
    <row r="228" spans="1:12" ht="10.25" customHeight="1" x14ac:dyDescent="0.15">
      <c r="A228" s="118" t="s">
        <v>278</v>
      </c>
      <c r="B228" s="111">
        <v>152</v>
      </c>
      <c r="C228" s="111">
        <v>5552</v>
      </c>
      <c r="D228" s="111">
        <v>36.6</v>
      </c>
      <c r="E228" s="111">
        <v>224</v>
      </c>
      <c r="F228" s="111">
        <v>217</v>
      </c>
      <c r="G228" s="111">
        <v>1804</v>
      </c>
      <c r="H228" s="117"/>
      <c r="I228" s="117"/>
      <c r="J228" s="117"/>
      <c r="K228" s="117"/>
      <c r="L228" s="117"/>
    </row>
    <row r="229" spans="1:12" ht="10.25" customHeight="1" x14ac:dyDescent="0.15">
      <c r="A229" s="118" t="s">
        <v>279</v>
      </c>
      <c r="B229" s="111">
        <v>86</v>
      </c>
      <c r="C229" s="111">
        <v>3323</v>
      </c>
      <c r="D229" s="111">
        <v>38.799999999999997</v>
      </c>
      <c r="E229" s="111">
        <v>140</v>
      </c>
      <c r="F229" s="111">
        <v>135</v>
      </c>
      <c r="G229" s="111">
        <v>1115</v>
      </c>
      <c r="H229" s="117"/>
      <c r="I229" s="117"/>
      <c r="J229" s="117"/>
      <c r="K229" s="117"/>
      <c r="L229" s="117"/>
    </row>
    <row r="230" spans="1:12" ht="10.25" customHeight="1" x14ac:dyDescent="0.15">
      <c r="A230" s="118" t="s">
        <v>280</v>
      </c>
      <c r="B230" s="111">
        <v>50</v>
      </c>
      <c r="C230" s="111">
        <v>1453</v>
      </c>
      <c r="D230" s="111">
        <v>28.9</v>
      </c>
      <c r="E230" s="111">
        <v>42</v>
      </c>
      <c r="F230" s="111">
        <v>41</v>
      </c>
      <c r="G230" s="111">
        <v>361</v>
      </c>
      <c r="H230" s="117"/>
      <c r="I230" s="117"/>
      <c r="J230" s="117"/>
      <c r="K230" s="117"/>
      <c r="L230" s="117"/>
    </row>
    <row r="231" spans="1:12" ht="10.25" customHeight="1" x14ac:dyDescent="0.15">
      <c r="A231" s="118" t="s">
        <v>281</v>
      </c>
      <c r="B231" s="111">
        <v>32</v>
      </c>
      <c r="C231" s="111">
        <v>2195</v>
      </c>
      <c r="D231" s="111">
        <v>69.3</v>
      </c>
      <c r="E231" s="111">
        <v>84</v>
      </c>
      <c r="F231" s="111">
        <v>81</v>
      </c>
      <c r="G231" s="111">
        <v>648</v>
      </c>
      <c r="H231" s="117"/>
      <c r="I231" s="117"/>
      <c r="J231" s="117"/>
      <c r="K231" s="117"/>
      <c r="L231" s="117"/>
    </row>
    <row r="232" spans="1:12" ht="10.25" customHeight="1" x14ac:dyDescent="0.15">
      <c r="A232" s="118" t="s">
        <v>282</v>
      </c>
      <c r="B232" s="111">
        <v>1314</v>
      </c>
      <c r="C232" s="111">
        <v>15304</v>
      </c>
      <c r="D232" s="111">
        <v>11.7</v>
      </c>
      <c r="E232" s="111">
        <v>673</v>
      </c>
      <c r="F232" s="111">
        <v>653</v>
      </c>
      <c r="G232" s="111">
        <v>5095</v>
      </c>
      <c r="H232" s="117"/>
      <c r="I232" s="117"/>
      <c r="J232" s="117"/>
      <c r="K232" s="117"/>
      <c r="L232" s="117"/>
    </row>
    <row r="233" spans="1:12" ht="10.25" customHeight="1" x14ac:dyDescent="0.15">
      <c r="A233" s="118" t="s">
        <v>283</v>
      </c>
      <c r="B233" s="111">
        <v>429</v>
      </c>
      <c r="C233" s="111">
        <v>8969</v>
      </c>
      <c r="D233" s="111">
        <v>20.9</v>
      </c>
      <c r="E233" s="111">
        <v>379</v>
      </c>
      <c r="F233" s="111">
        <v>368</v>
      </c>
      <c r="G233" s="111">
        <v>2720</v>
      </c>
      <c r="H233" s="117"/>
      <c r="I233" s="117"/>
      <c r="J233" s="117"/>
      <c r="K233" s="117"/>
      <c r="L233" s="117"/>
    </row>
    <row r="234" spans="1:12" ht="10.25" customHeight="1" x14ac:dyDescent="0.15">
      <c r="A234" s="118" t="s">
        <v>238</v>
      </c>
      <c r="B234" s="111">
        <v>24</v>
      </c>
      <c r="C234" s="111">
        <v>2291</v>
      </c>
      <c r="D234" s="111">
        <v>95.4</v>
      </c>
      <c r="E234" s="111">
        <v>39</v>
      </c>
      <c r="F234" s="111">
        <v>38</v>
      </c>
      <c r="G234" s="111">
        <v>269</v>
      </c>
      <c r="H234" s="117"/>
      <c r="I234" s="117"/>
      <c r="J234" s="117"/>
      <c r="K234" s="117"/>
      <c r="L234" s="117"/>
    </row>
    <row r="235" spans="1:12" ht="10.25" customHeight="1" x14ac:dyDescent="0.15">
      <c r="A235" s="118" t="s">
        <v>284</v>
      </c>
      <c r="B235" s="111">
        <v>432</v>
      </c>
      <c r="C235" s="111">
        <v>18174</v>
      </c>
      <c r="D235" s="111">
        <v>42.1</v>
      </c>
      <c r="E235" s="111">
        <v>1040</v>
      </c>
      <c r="F235" s="111">
        <v>1009</v>
      </c>
      <c r="G235" s="111">
        <v>7418</v>
      </c>
      <c r="H235" s="117"/>
      <c r="I235" s="117"/>
      <c r="J235" s="117"/>
      <c r="K235" s="117"/>
      <c r="L235" s="117"/>
    </row>
    <row r="236" spans="1:12" ht="10.25" customHeight="1" x14ac:dyDescent="0.15">
      <c r="A236" s="118" t="s">
        <v>285</v>
      </c>
      <c r="B236" s="111">
        <v>586</v>
      </c>
      <c r="C236" s="111">
        <v>13618</v>
      </c>
      <c r="D236" s="111">
        <v>23.2</v>
      </c>
      <c r="E236" s="111">
        <v>582</v>
      </c>
      <c r="F236" s="111">
        <v>564</v>
      </c>
      <c r="G236" s="111">
        <v>4477</v>
      </c>
      <c r="H236" s="117"/>
      <c r="I236" s="117"/>
      <c r="J236" s="117"/>
      <c r="K236" s="117"/>
      <c r="L236" s="117"/>
    </row>
    <row r="237" spans="1:12" ht="10.25" customHeight="1" x14ac:dyDescent="0.15">
      <c r="A237" s="118" t="s">
        <v>116</v>
      </c>
      <c r="B237" s="111">
        <v>85</v>
      </c>
      <c r="C237" s="111">
        <v>1801</v>
      </c>
      <c r="D237" s="111">
        <v>21.1</v>
      </c>
      <c r="E237" s="111">
        <v>47</v>
      </c>
      <c r="F237" s="111">
        <v>46</v>
      </c>
      <c r="G237" s="111">
        <v>368</v>
      </c>
      <c r="H237" s="117"/>
      <c r="I237" s="117"/>
      <c r="J237" s="117"/>
      <c r="K237" s="117"/>
      <c r="L237" s="117"/>
    </row>
    <row r="238" spans="1:12" ht="10.25" customHeight="1" x14ac:dyDescent="0.15">
      <c r="A238" s="114"/>
      <c r="B238" s="111"/>
      <c r="C238" s="111"/>
      <c r="D238" s="111"/>
      <c r="E238" s="111"/>
      <c r="F238" s="111"/>
      <c r="G238" s="111"/>
      <c r="H238" s="117"/>
      <c r="I238" s="117"/>
      <c r="J238" s="117"/>
      <c r="K238" s="117"/>
      <c r="L238" s="117"/>
    </row>
    <row r="239" spans="1:12" ht="10.25" customHeight="1" x14ac:dyDescent="0.15">
      <c r="A239" s="115" t="s">
        <v>286</v>
      </c>
      <c r="B239" s="111"/>
      <c r="C239" s="111"/>
      <c r="D239" s="111"/>
      <c r="E239" s="111"/>
      <c r="F239" s="111"/>
      <c r="G239" s="111"/>
      <c r="H239" s="117"/>
      <c r="I239" s="117"/>
      <c r="J239" s="117"/>
      <c r="K239" s="117"/>
      <c r="L239" s="117"/>
    </row>
    <row r="240" spans="1:12" ht="10.25" customHeight="1" x14ac:dyDescent="0.15">
      <c r="A240" s="115" t="s">
        <v>277</v>
      </c>
      <c r="B240" s="111"/>
      <c r="C240" s="111"/>
      <c r="D240" s="111"/>
      <c r="E240" s="111"/>
      <c r="F240" s="111"/>
      <c r="G240" s="111"/>
      <c r="H240" s="117"/>
      <c r="I240" s="117"/>
      <c r="J240" s="117"/>
      <c r="K240" s="117"/>
      <c r="L240" s="117"/>
    </row>
    <row r="241" spans="1:12" ht="10.25" customHeight="1" x14ac:dyDescent="0.15">
      <c r="A241" s="114" t="s">
        <v>287</v>
      </c>
      <c r="B241" s="111"/>
      <c r="C241" s="111"/>
      <c r="D241" s="111"/>
      <c r="E241" s="111"/>
      <c r="F241" s="111"/>
      <c r="G241" s="111"/>
      <c r="H241" s="117"/>
      <c r="I241" s="117"/>
      <c r="J241" s="117"/>
      <c r="K241" s="117"/>
      <c r="L241" s="117"/>
    </row>
    <row r="242" spans="1:12" ht="10.25" customHeight="1" x14ac:dyDescent="0.15">
      <c r="A242" s="118" t="s">
        <v>288</v>
      </c>
      <c r="B242" s="111">
        <v>652</v>
      </c>
      <c r="C242" s="111">
        <v>7982</v>
      </c>
      <c r="D242" s="111">
        <v>12.2</v>
      </c>
      <c r="E242" s="111">
        <v>391</v>
      </c>
      <c r="F242" s="111">
        <v>379</v>
      </c>
      <c r="G242" s="111">
        <v>2867</v>
      </c>
      <c r="H242" s="117"/>
      <c r="I242" s="117"/>
      <c r="J242" s="117"/>
      <c r="K242" s="117"/>
      <c r="L242" s="117"/>
    </row>
    <row r="243" spans="1:12" ht="10.25" customHeight="1" x14ac:dyDescent="0.15">
      <c r="A243" s="118" t="s">
        <v>278</v>
      </c>
      <c r="B243" s="111">
        <v>176</v>
      </c>
      <c r="C243" s="111">
        <v>5832</v>
      </c>
      <c r="D243" s="111">
        <v>33.200000000000003</v>
      </c>
      <c r="E243" s="111">
        <v>234</v>
      </c>
      <c r="F243" s="111">
        <v>227</v>
      </c>
      <c r="G243" s="111">
        <v>1887</v>
      </c>
      <c r="H243" s="117"/>
      <c r="I243" s="117"/>
      <c r="J243" s="117"/>
      <c r="K243" s="117"/>
      <c r="L243" s="117"/>
    </row>
    <row r="244" spans="1:12" ht="10.25" customHeight="1" x14ac:dyDescent="0.15">
      <c r="A244" s="118" t="s">
        <v>279</v>
      </c>
      <c r="B244" s="111">
        <v>100</v>
      </c>
      <c r="C244" s="111">
        <v>3352</v>
      </c>
      <c r="D244" s="111">
        <v>33.4</v>
      </c>
      <c r="E244" s="111">
        <v>145</v>
      </c>
      <c r="F244" s="111">
        <v>141</v>
      </c>
      <c r="G244" s="111">
        <v>1163</v>
      </c>
      <c r="H244" s="117"/>
      <c r="I244" s="117"/>
      <c r="J244" s="117"/>
      <c r="K244" s="117"/>
      <c r="L244" s="117"/>
    </row>
    <row r="245" spans="1:12" ht="10.25" customHeight="1" x14ac:dyDescent="0.15">
      <c r="A245" s="118" t="s">
        <v>280</v>
      </c>
      <c r="B245" s="111">
        <v>59</v>
      </c>
      <c r="C245" s="111">
        <v>1489</v>
      </c>
      <c r="D245" s="111">
        <v>25</v>
      </c>
      <c r="E245" s="111">
        <v>45</v>
      </c>
      <c r="F245" s="111">
        <v>43</v>
      </c>
      <c r="G245" s="111">
        <v>382</v>
      </c>
      <c r="H245" s="117"/>
      <c r="I245" s="117"/>
      <c r="J245" s="117"/>
      <c r="K245" s="117"/>
      <c r="L245" s="117"/>
    </row>
    <row r="246" spans="1:12" ht="10.25" customHeight="1" x14ac:dyDescent="0.15">
      <c r="A246" s="118" t="s">
        <v>281</v>
      </c>
      <c r="B246" s="111">
        <v>31</v>
      </c>
      <c r="C246" s="111">
        <v>2380</v>
      </c>
      <c r="D246" s="111">
        <v>76</v>
      </c>
      <c r="E246" s="111">
        <v>85</v>
      </c>
      <c r="F246" s="111">
        <v>83</v>
      </c>
      <c r="G246" s="111">
        <v>660</v>
      </c>
      <c r="H246" s="117"/>
      <c r="I246" s="117"/>
      <c r="J246" s="117"/>
      <c r="K246" s="117"/>
      <c r="L246" s="117"/>
    </row>
    <row r="247" spans="1:12" ht="10.25" customHeight="1" x14ac:dyDescent="0.15">
      <c r="A247" s="118" t="s">
        <v>289</v>
      </c>
      <c r="B247" s="111">
        <v>392</v>
      </c>
      <c r="C247" s="111">
        <v>9114</v>
      </c>
      <c r="D247" s="111">
        <v>23.2</v>
      </c>
      <c r="E247" s="111">
        <v>410</v>
      </c>
      <c r="F247" s="111">
        <v>398</v>
      </c>
      <c r="G247" s="111">
        <v>3040</v>
      </c>
      <c r="H247" s="117"/>
      <c r="I247" s="117"/>
      <c r="J247" s="117"/>
      <c r="K247" s="117"/>
      <c r="L247" s="117"/>
    </row>
    <row r="248" spans="1:12" ht="10.25" customHeight="1" x14ac:dyDescent="0.15">
      <c r="A248" s="118" t="s">
        <v>239</v>
      </c>
      <c r="B248" s="111">
        <v>17</v>
      </c>
      <c r="C248" s="111">
        <v>1765</v>
      </c>
      <c r="D248" s="111">
        <v>101.7</v>
      </c>
      <c r="E248" s="111">
        <v>35</v>
      </c>
      <c r="F248" s="111">
        <v>34</v>
      </c>
      <c r="G248" s="111">
        <v>244</v>
      </c>
      <c r="H248" s="117"/>
      <c r="I248" s="117"/>
      <c r="J248" s="117"/>
      <c r="K248" s="117"/>
      <c r="L248" s="117"/>
    </row>
    <row r="249" spans="1:12" ht="10.25" customHeight="1" x14ac:dyDescent="0.15">
      <c r="A249" s="118" t="s">
        <v>290</v>
      </c>
      <c r="B249" s="111">
        <v>78</v>
      </c>
      <c r="C249" s="111">
        <v>9100</v>
      </c>
      <c r="D249" s="111">
        <v>116.8</v>
      </c>
      <c r="E249" s="111">
        <v>501</v>
      </c>
      <c r="F249" s="111">
        <v>486</v>
      </c>
      <c r="G249" s="111">
        <v>3461</v>
      </c>
      <c r="H249" s="117"/>
      <c r="I249" s="117"/>
      <c r="J249" s="117"/>
      <c r="K249" s="117"/>
      <c r="L249" s="117"/>
    </row>
    <row r="250" spans="1:12" ht="10.25" customHeight="1" x14ac:dyDescent="0.15">
      <c r="A250" s="114" t="s">
        <v>291</v>
      </c>
      <c r="B250" s="111"/>
      <c r="C250" s="111"/>
      <c r="D250" s="111"/>
      <c r="E250" s="111"/>
      <c r="F250" s="111"/>
      <c r="G250" s="111"/>
      <c r="H250" s="117"/>
      <c r="I250" s="117"/>
      <c r="J250" s="117"/>
      <c r="K250" s="117"/>
      <c r="L250" s="117"/>
    </row>
    <row r="251" spans="1:12" ht="10.25" customHeight="1" x14ac:dyDescent="0.15">
      <c r="A251" s="118" t="s">
        <v>292</v>
      </c>
      <c r="B251" s="111">
        <v>1116</v>
      </c>
      <c r="C251" s="111">
        <v>23806</v>
      </c>
      <c r="D251" s="111">
        <v>21.3</v>
      </c>
      <c r="E251" s="111">
        <v>1090</v>
      </c>
      <c r="F251" s="111">
        <v>1057</v>
      </c>
      <c r="G251" s="111">
        <v>8210</v>
      </c>
      <c r="H251" s="117"/>
      <c r="I251" s="117"/>
      <c r="J251" s="117"/>
      <c r="K251" s="117"/>
      <c r="L251" s="117"/>
    </row>
    <row r="252" spans="1:12" ht="10.25" customHeight="1" x14ac:dyDescent="0.15">
      <c r="A252" s="118" t="s">
        <v>293</v>
      </c>
      <c r="B252" s="111">
        <v>78</v>
      </c>
      <c r="C252" s="111">
        <v>1265</v>
      </c>
      <c r="D252" s="111">
        <v>16.2</v>
      </c>
      <c r="E252" s="111">
        <v>81</v>
      </c>
      <c r="F252" s="111">
        <v>78</v>
      </c>
      <c r="G252" s="111">
        <v>520</v>
      </c>
      <c r="H252" s="117"/>
      <c r="I252" s="117"/>
      <c r="J252" s="117"/>
      <c r="K252" s="117"/>
      <c r="L252" s="117"/>
    </row>
    <row r="253" spans="1:12" ht="10.25" customHeight="1" x14ac:dyDescent="0.15">
      <c r="A253" s="118" t="s">
        <v>116</v>
      </c>
      <c r="B253" s="111">
        <v>16</v>
      </c>
      <c r="C253" s="111">
        <v>808</v>
      </c>
      <c r="D253" s="111">
        <v>49.7</v>
      </c>
      <c r="E253" s="111">
        <v>52</v>
      </c>
      <c r="F253" s="111">
        <v>51</v>
      </c>
      <c r="G253" s="111">
        <v>377</v>
      </c>
      <c r="H253" s="117"/>
      <c r="I253" s="117"/>
      <c r="J253" s="117"/>
      <c r="K253" s="117"/>
      <c r="L253" s="117"/>
    </row>
    <row r="254" spans="1:12" ht="10.25" customHeight="1" x14ac:dyDescent="0.15">
      <c r="A254" s="114"/>
      <c r="B254" s="111"/>
      <c r="C254" s="111"/>
      <c r="D254" s="111"/>
      <c r="E254" s="111"/>
      <c r="F254" s="111"/>
      <c r="G254" s="111"/>
      <c r="H254" s="117"/>
      <c r="I254" s="117"/>
      <c r="J254" s="117"/>
      <c r="K254" s="117"/>
      <c r="L254" s="117"/>
    </row>
    <row r="255" spans="1:12" ht="10.25" customHeight="1" x14ac:dyDescent="0.15">
      <c r="A255" s="115" t="s">
        <v>294</v>
      </c>
      <c r="B255" s="111"/>
      <c r="C255" s="111"/>
      <c r="D255" s="111"/>
      <c r="E255" s="111"/>
      <c r="F255" s="111"/>
      <c r="G255" s="111"/>
      <c r="H255" s="117"/>
      <c r="I255" s="117"/>
      <c r="J255" s="117"/>
      <c r="K255" s="117"/>
      <c r="L255" s="117"/>
    </row>
    <row r="256" spans="1:12" ht="10.25" customHeight="1" x14ac:dyDescent="0.15">
      <c r="A256" s="115" t="s">
        <v>295</v>
      </c>
      <c r="B256" s="111"/>
      <c r="C256" s="111"/>
      <c r="D256" s="111"/>
      <c r="E256" s="111"/>
      <c r="F256" s="111"/>
      <c r="G256" s="111"/>
      <c r="H256" s="117"/>
      <c r="I256" s="117"/>
      <c r="J256" s="117"/>
      <c r="K256" s="117"/>
      <c r="L256" s="117"/>
    </row>
    <row r="257" spans="1:12" ht="10.25" customHeight="1" x14ac:dyDescent="0.15">
      <c r="A257" s="118" t="s">
        <v>296</v>
      </c>
      <c r="B257" s="111">
        <v>734</v>
      </c>
      <c r="C257" s="111">
        <v>12275</v>
      </c>
      <c r="D257" s="111">
        <v>16.7</v>
      </c>
      <c r="E257" s="111">
        <v>605</v>
      </c>
      <c r="F257" s="111">
        <v>587</v>
      </c>
      <c r="G257" s="111">
        <v>4519</v>
      </c>
      <c r="H257" s="117"/>
      <c r="I257" s="117"/>
      <c r="J257" s="117"/>
      <c r="K257" s="117"/>
      <c r="L257" s="117"/>
    </row>
    <row r="258" spans="1:12" ht="10.25" customHeight="1" x14ac:dyDescent="0.15">
      <c r="A258" s="118" t="s">
        <v>297</v>
      </c>
      <c r="B258" s="111">
        <v>873</v>
      </c>
      <c r="C258" s="111">
        <v>16047</v>
      </c>
      <c r="D258" s="111">
        <v>18.399999999999999</v>
      </c>
      <c r="E258" s="111">
        <v>779</v>
      </c>
      <c r="F258" s="111">
        <v>756</v>
      </c>
      <c r="G258" s="111">
        <v>5761</v>
      </c>
      <c r="H258" s="117"/>
      <c r="I258" s="117"/>
      <c r="J258" s="117"/>
      <c r="K258" s="117"/>
      <c r="L258" s="117"/>
    </row>
    <row r="259" spans="1:12" ht="10.25" customHeight="1" x14ac:dyDescent="0.15">
      <c r="A259" s="114"/>
      <c r="B259" s="111"/>
      <c r="C259" s="111"/>
      <c r="D259" s="111"/>
      <c r="E259" s="111"/>
      <c r="F259" s="111"/>
      <c r="G259" s="111"/>
      <c r="H259" s="117"/>
      <c r="I259" s="117"/>
      <c r="J259" s="117"/>
      <c r="K259" s="117"/>
      <c r="L259" s="117"/>
    </row>
    <row r="260" spans="1:12" ht="10.25" customHeight="1" x14ac:dyDescent="0.15">
      <c r="A260" s="115" t="s">
        <v>298</v>
      </c>
      <c r="B260" s="111"/>
      <c r="C260" s="111"/>
      <c r="D260" s="111"/>
      <c r="E260" s="111"/>
      <c r="F260" s="111"/>
      <c r="G260" s="111"/>
      <c r="H260" s="117"/>
      <c r="I260" s="117"/>
      <c r="J260" s="117"/>
      <c r="K260" s="117"/>
      <c r="L260" s="117"/>
    </row>
    <row r="261" spans="1:12" ht="10.25" customHeight="1" x14ac:dyDescent="0.15">
      <c r="A261" s="118" t="s">
        <v>299</v>
      </c>
      <c r="B261" s="111">
        <v>1560</v>
      </c>
      <c r="C261" s="111">
        <v>25353</v>
      </c>
      <c r="D261" s="111">
        <v>16.3</v>
      </c>
      <c r="E261" s="111">
        <v>1226</v>
      </c>
      <c r="F261" s="111">
        <v>1189</v>
      </c>
      <c r="G261" s="111">
        <v>9346</v>
      </c>
      <c r="H261" s="117"/>
      <c r="I261" s="117"/>
      <c r="J261" s="117"/>
      <c r="K261" s="117"/>
      <c r="L261" s="117"/>
    </row>
    <row r="262" spans="1:12" ht="10.25" customHeight="1" x14ac:dyDescent="0.15">
      <c r="A262" s="118" t="s">
        <v>300</v>
      </c>
      <c r="B262" s="111">
        <v>438</v>
      </c>
      <c r="C262" s="111">
        <v>7559</v>
      </c>
      <c r="D262" s="111">
        <v>17.3</v>
      </c>
      <c r="E262" s="111">
        <v>254</v>
      </c>
      <c r="F262" s="111">
        <v>247</v>
      </c>
      <c r="G262" s="111">
        <v>1989</v>
      </c>
      <c r="H262" s="117"/>
      <c r="I262" s="117"/>
      <c r="J262" s="117"/>
      <c r="K262" s="117"/>
      <c r="L262" s="117"/>
    </row>
    <row r="263" spans="1:12" ht="10.25" customHeight="1" x14ac:dyDescent="0.15">
      <c r="A263" s="114" t="s">
        <v>301</v>
      </c>
      <c r="B263" s="111"/>
      <c r="C263" s="111"/>
      <c r="D263" s="111"/>
      <c r="E263" s="111"/>
      <c r="F263" s="111"/>
      <c r="G263" s="111"/>
      <c r="H263" s="117"/>
      <c r="I263" s="117"/>
      <c r="J263" s="117"/>
      <c r="K263" s="117"/>
      <c r="L263" s="117"/>
    </row>
    <row r="264" spans="1:12" ht="10.25" customHeight="1" x14ac:dyDescent="0.15">
      <c r="A264" s="118" t="s">
        <v>302</v>
      </c>
      <c r="B264" s="111">
        <v>128</v>
      </c>
      <c r="C264" s="111">
        <v>8222</v>
      </c>
      <c r="D264" s="111">
        <v>64</v>
      </c>
      <c r="E264" s="111">
        <v>390</v>
      </c>
      <c r="F264" s="111">
        <v>378</v>
      </c>
      <c r="G264" s="111">
        <v>2691</v>
      </c>
      <c r="H264" s="117"/>
      <c r="I264" s="117"/>
      <c r="J264" s="117"/>
      <c r="K264" s="117"/>
      <c r="L264" s="117"/>
    </row>
    <row r="265" spans="1:12" ht="10.25" customHeight="1" x14ac:dyDescent="0.15">
      <c r="A265" s="114"/>
      <c r="B265" s="111"/>
      <c r="C265" s="111"/>
      <c r="D265" s="111"/>
      <c r="E265" s="111"/>
      <c r="F265" s="111"/>
      <c r="G265" s="111"/>
      <c r="H265" s="117"/>
      <c r="I265" s="117"/>
      <c r="J265" s="117"/>
      <c r="K265" s="117"/>
      <c r="L265" s="117"/>
    </row>
    <row r="266" spans="1:12" ht="10.25" customHeight="1" x14ac:dyDescent="0.15">
      <c r="A266" s="115" t="s">
        <v>334</v>
      </c>
      <c r="B266" s="111"/>
      <c r="C266" s="111"/>
      <c r="D266" s="111"/>
      <c r="E266" s="111"/>
      <c r="F266" s="111"/>
      <c r="G266" s="111"/>
      <c r="H266" s="117"/>
      <c r="I266" s="117"/>
      <c r="J266" s="117"/>
      <c r="K266" s="117"/>
      <c r="L266" s="117"/>
    </row>
    <row r="267" spans="1:12" ht="10.25" customHeight="1" x14ac:dyDescent="0.15">
      <c r="A267" s="115" t="s">
        <v>155</v>
      </c>
      <c r="B267" s="111"/>
      <c r="C267" s="111"/>
      <c r="D267" s="111"/>
      <c r="E267" s="111"/>
      <c r="F267" s="111"/>
      <c r="G267" s="111"/>
      <c r="H267" s="117"/>
      <c r="I267" s="117"/>
      <c r="J267" s="117"/>
      <c r="K267" s="117"/>
      <c r="L267" s="117"/>
    </row>
    <row r="268" spans="1:12" ht="10.25" customHeight="1" x14ac:dyDescent="0.15">
      <c r="A268" s="118" t="s">
        <v>335</v>
      </c>
      <c r="B268" s="111">
        <v>563</v>
      </c>
      <c r="C268" s="111">
        <v>18644</v>
      </c>
      <c r="D268" s="111">
        <v>33.1</v>
      </c>
      <c r="E268" s="111">
        <v>996</v>
      </c>
      <c r="F268" s="111">
        <v>966</v>
      </c>
      <c r="G268" s="111">
        <v>7156</v>
      </c>
      <c r="H268" s="117"/>
      <c r="I268" s="117"/>
      <c r="J268" s="117"/>
      <c r="K268" s="117"/>
      <c r="L268" s="117"/>
    </row>
    <row r="269" spans="1:12" ht="10.25" customHeight="1" x14ac:dyDescent="0.15">
      <c r="A269" s="114" t="s">
        <v>336</v>
      </c>
      <c r="B269" s="111"/>
      <c r="C269" s="111"/>
      <c r="D269" s="111"/>
      <c r="E269" s="111"/>
      <c r="F269" s="111"/>
      <c r="G269" s="111"/>
      <c r="H269" s="117"/>
      <c r="I269" s="117"/>
      <c r="J269" s="117"/>
      <c r="K269" s="117"/>
      <c r="L269" s="117"/>
    </row>
    <row r="270" spans="1:12" ht="10.25" customHeight="1" x14ac:dyDescent="0.15">
      <c r="A270" s="118" t="s">
        <v>337</v>
      </c>
      <c r="B270" s="111">
        <v>404</v>
      </c>
      <c r="C270" s="111">
        <v>16023</v>
      </c>
      <c r="D270" s="111">
        <v>39.700000000000003</v>
      </c>
      <c r="E270" s="111">
        <v>931</v>
      </c>
      <c r="F270" s="111">
        <v>903</v>
      </c>
      <c r="G270" s="111">
        <v>6466</v>
      </c>
      <c r="H270" s="117"/>
      <c r="I270" s="117"/>
      <c r="J270" s="117"/>
      <c r="K270" s="117"/>
      <c r="L270" s="117"/>
    </row>
    <row r="271" spans="1:12" ht="10.25" customHeight="1" x14ac:dyDescent="0.15">
      <c r="A271" s="118" t="s">
        <v>338</v>
      </c>
      <c r="B271" s="111">
        <v>373</v>
      </c>
      <c r="C271" s="111">
        <v>20615</v>
      </c>
      <c r="D271" s="111">
        <v>55.3</v>
      </c>
      <c r="E271" s="111">
        <v>875</v>
      </c>
      <c r="F271" s="111">
        <v>849</v>
      </c>
      <c r="G271" s="111">
        <v>6230</v>
      </c>
      <c r="H271" s="117"/>
      <c r="I271" s="117"/>
      <c r="J271" s="117"/>
      <c r="K271" s="117"/>
      <c r="L271" s="117"/>
    </row>
    <row r="272" spans="1:12" ht="10.25" customHeight="1" x14ac:dyDescent="0.15">
      <c r="A272" s="114"/>
      <c r="B272" s="111"/>
      <c r="C272" s="111"/>
      <c r="D272" s="111"/>
      <c r="E272" s="111"/>
      <c r="F272" s="111"/>
      <c r="G272" s="111"/>
      <c r="H272" s="117"/>
      <c r="I272" s="117"/>
      <c r="J272" s="117"/>
      <c r="K272" s="117"/>
      <c r="L272" s="117"/>
    </row>
    <row r="273" spans="1:12" ht="10.25" customHeight="1" x14ac:dyDescent="0.15">
      <c r="A273" s="115" t="s">
        <v>339</v>
      </c>
      <c r="B273" s="111"/>
      <c r="C273" s="111"/>
      <c r="D273" s="111"/>
      <c r="E273" s="111"/>
      <c r="F273" s="111"/>
      <c r="G273" s="111"/>
      <c r="H273" s="117"/>
      <c r="I273" s="117"/>
      <c r="J273" s="117"/>
      <c r="K273" s="117"/>
      <c r="L273" s="117"/>
    </row>
    <row r="274" spans="1:12" ht="10.25" customHeight="1" x14ac:dyDescent="0.15">
      <c r="A274" s="115" t="s">
        <v>155</v>
      </c>
      <c r="B274" s="111"/>
      <c r="C274" s="111"/>
      <c r="D274" s="111"/>
      <c r="E274" s="111"/>
      <c r="F274" s="111"/>
      <c r="G274" s="111"/>
      <c r="H274" s="117"/>
      <c r="I274" s="117"/>
      <c r="J274" s="117"/>
      <c r="K274" s="117"/>
      <c r="L274" s="117"/>
    </row>
    <row r="275" spans="1:12" ht="10.25" customHeight="1" x14ac:dyDescent="0.15">
      <c r="A275" s="118" t="s">
        <v>340</v>
      </c>
      <c r="B275" s="111">
        <v>290</v>
      </c>
      <c r="C275" s="111">
        <v>14594</v>
      </c>
      <c r="D275" s="111">
        <v>50.2</v>
      </c>
      <c r="E275" s="111">
        <v>710</v>
      </c>
      <c r="F275" s="111">
        <v>688</v>
      </c>
      <c r="G275" s="111">
        <v>5070</v>
      </c>
      <c r="H275" s="117"/>
      <c r="I275" s="117"/>
      <c r="J275" s="117"/>
      <c r="K275" s="117"/>
      <c r="L275" s="117"/>
    </row>
    <row r="276" spans="1:12" ht="10.25" customHeight="1" x14ac:dyDescent="0.15">
      <c r="A276" s="118" t="s">
        <v>341</v>
      </c>
      <c r="B276" s="111">
        <v>348</v>
      </c>
      <c r="C276" s="111">
        <v>16655</v>
      </c>
      <c r="D276" s="111">
        <v>47.8</v>
      </c>
      <c r="E276" s="111">
        <v>805</v>
      </c>
      <c r="F276" s="111">
        <v>781</v>
      </c>
      <c r="G276" s="111">
        <v>5703</v>
      </c>
      <c r="H276" s="117"/>
      <c r="I276" s="117"/>
      <c r="J276" s="117"/>
      <c r="K276" s="117"/>
      <c r="L276" s="117"/>
    </row>
    <row r="277" spans="1:12" ht="10.25" customHeight="1" x14ac:dyDescent="0.15">
      <c r="A277" s="118" t="s">
        <v>342</v>
      </c>
      <c r="B277" s="111">
        <v>1576</v>
      </c>
      <c r="C277" s="111">
        <v>36984</v>
      </c>
      <c r="D277" s="111">
        <v>23.5</v>
      </c>
      <c r="E277" s="111">
        <v>1659</v>
      </c>
      <c r="F277" s="111">
        <v>1609</v>
      </c>
      <c r="G277" s="111">
        <v>12356</v>
      </c>
      <c r="H277" s="117"/>
      <c r="I277" s="117"/>
      <c r="J277" s="117"/>
      <c r="K277" s="117"/>
      <c r="L277" s="117"/>
    </row>
    <row r="278" spans="1:12" ht="10.25" customHeight="1" x14ac:dyDescent="0.15">
      <c r="A278" s="114" t="s">
        <v>343</v>
      </c>
      <c r="B278" s="111"/>
      <c r="C278" s="111"/>
      <c r="D278" s="111"/>
      <c r="E278" s="111"/>
      <c r="F278" s="111"/>
      <c r="G278" s="111"/>
      <c r="H278" s="117"/>
      <c r="I278" s="117"/>
      <c r="J278" s="117"/>
      <c r="K278" s="117"/>
      <c r="L278" s="117"/>
    </row>
    <row r="279" spans="1:12" ht="10.25" customHeight="1" x14ac:dyDescent="0.15">
      <c r="A279" s="118" t="s">
        <v>344</v>
      </c>
      <c r="B279" s="111">
        <v>155</v>
      </c>
      <c r="C279" s="111">
        <v>11626</v>
      </c>
      <c r="D279" s="111">
        <v>74.8</v>
      </c>
      <c r="E279" s="111">
        <v>477</v>
      </c>
      <c r="F279" s="111">
        <v>463</v>
      </c>
      <c r="G279" s="111">
        <v>3318</v>
      </c>
      <c r="H279" s="117"/>
      <c r="I279" s="117"/>
      <c r="J279" s="117"/>
      <c r="K279" s="117"/>
      <c r="L279" s="117"/>
    </row>
    <row r="280" spans="1:12" ht="10.25" customHeight="1" x14ac:dyDescent="0.15">
      <c r="A280" s="114"/>
      <c r="B280" s="111"/>
      <c r="C280" s="111"/>
      <c r="D280" s="111"/>
      <c r="E280" s="111"/>
      <c r="F280" s="111"/>
      <c r="G280" s="111"/>
      <c r="H280" s="117"/>
      <c r="I280" s="117"/>
      <c r="J280" s="117"/>
      <c r="K280" s="117"/>
      <c r="L280" s="117"/>
    </row>
    <row r="281" spans="1:12" ht="10.25" customHeight="1" x14ac:dyDescent="0.15">
      <c r="A281" s="115" t="s">
        <v>359</v>
      </c>
      <c r="B281" s="111"/>
      <c r="C281" s="111"/>
      <c r="D281" s="111"/>
      <c r="E281" s="111"/>
      <c r="F281" s="111"/>
      <c r="G281" s="111"/>
      <c r="H281" s="117"/>
      <c r="I281" s="117"/>
      <c r="J281" s="117"/>
      <c r="K281" s="117"/>
      <c r="L281" s="117"/>
    </row>
    <row r="282" spans="1:12" ht="10.25" customHeight="1" x14ac:dyDescent="0.15">
      <c r="A282" s="115" t="s">
        <v>360</v>
      </c>
      <c r="B282" s="111"/>
      <c r="C282" s="111"/>
      <c r="D282" s="111"/>
      <c r="E282" s="111"/>
      <c r="F282" s="111"/>
      <c r="G282" s="111"/>
      <c r="H282" s="117"/>
      <c r="I282" s="117"/>
      <c r="J282" s="117"/>
      <c r="K282" s="117"/>
      <c r="L282" s="117"/>
    </row>
    <row r="283" spans="1:12" ht="11.25" customHeight="1" x14ac:dyDescent="0.15">
      <c r="A283" s="115" t="s">
        <v>310</v>
      </c>
      <c r="B283" s="111"/>
      <c r="C283" s="111"/>
      <c r="D283" s="111"/>
      <c r="E283" s="111"/>
      <c r="F283" s="111"/>
      <c r="G283" s="111"/>
      <c r="H283" s="117"/>
      <c r="I283" s="117"/>
      <c r="J283" s="117"/>
      <c r="K283" s="117"/>
      <c r="L283" s="117"/>
    </row>
    <row r="284" spans="1:12" ht="10.25" customHeight="1" x14ac:dyDescent="0.15">
      <c r="A284" s="118" t="s">
        <v>296</v>
      </c>
      <c r="B284" s="111">
        <v>1727</v>
      </c>
      <c r="C284" s="111">
        <v>31179</v>
      </c>
      <c r="D284" s="111">
        <v>18.100000000000001</v>
      </c>
      <c r="E284" s="111">
        <v>1292</v>
      </c>
      <c r="F284" s="111">
        <v>1253</v>
      </c>
      <c r="G284" s="111">
        <v>9840</v>
      </c>
      <c r="H284" s="117"/>
      <c r="I284" s="117"/>
      <c r="J284" s="117"/>
      <c r="K284" s="117"/>
      <c r="L284" s="117"/>
    </row>
    <row r="285" spans="1:12" ht="10.25" customHeight="1" x14ac:dyDescent="0.15">
      <c r="A285" s="118" t="s">
        <v>297</v>
      </c>
      <c r="B285" s="111">
        <v>1676</v>
      </c>
      <c r="C285" s="111">
        <v>31437</v>
      </c>
      <c r="D285" s="111">
        <v>18.8</v>
      </c>
      <c r="E285" s="111">
        <v>1288</v>
      </c>
      <c r="F285" s="111">
        <v>1249</v>
      </c>
      <c r="G285" s="111">
        <v>9785</v>
      </c>
      <c r="H285" s="117"/>
      <c r="I285" s="117"/>
      <c r="J285" s="117"/>
      <c r="K285" s="117"/>
      <c r="L285" s="117"/>
    </row>
    <row r="286" spans="1:12" ht="10.25" customHeight="1" x14ac:dyDescent="0.15">
      <c r="A286" s="118" t="s">
        <v>361</v>
      </c>
      <c r="B286" s="111">
        <v>2043</v>
      </c>
      <c r="C286" s="111">
        <v>31070</v>
      </c>
      <c r="D286" s="111">
        <v>15.2</v>
      </c>
      <c r="E286" s="111">
        <v>1250</v>
      </c>
      <c r="F286" s="111">
        <v>1213</v>
      </c>
      <c r="G286" s="111">
        <v>9710</v>
      </c>
      <c r="H286" s="117"/>
      <c r="I286" s="117"/>
      <c r="J286" s="117"/>
      <c r="K286" s="117"/>
      <c r="L286" s="117"/>
    </row>
    <row r="287" spans="1:12" ht="10.25" customHeight="1" x14ac:dyDescent="0.15">
      <c r="A287" s="118" t="s">
        <v>362</v>
      </c>
      <c r="B287" s="111">
        <v>863</v>
      </c>
      <c r="C287" s="111">
        <v>12670</v>
      </c>
      <c r="D287" s="111">
        <v>14.7</v>
      </c>
      <c r="E287" s="111">
        <v>476</v>
      </c>
      <c r="F287" s="111">
        <v>462</v>
      </c>
      <c r="G287" s="111">
        <v>3666</v>
      </c>
      <c r="H287" s="117"/>
      <c r="I287" s="117"/>
      <c r="J287" s="117"/>
      <c r="K287" s="117"/>
      <c r="L287" s="117"/>
    </row>
    <row r="288" spans="1:12" ht="10.25" customHeight="1" x14ac:dyDescent="0.15">
      <c r="A288" s="114"/>
      <c r="B288" s="111"/>
      <c r="C288" s="111"/>
      <c r="D288" s="111"/>
      <c r="E288" s="111"/>
      <c r="F288" s="111"/>
      <c r="G288" s="111"/>
      <c r="H288" s="117"/>
      <c r="I288" s="117"/>
      <c r="J288" s="117"/>
      <c r="K288" s="117"/>
      <c r="L288" s="117"/>
    </row>
    <row r="289" spans="1:12" ht="10.25" customHeight="1" x14ac:dyDescent="0.15">
      <c r="A289" s="115" t="s">
        <v>363</v>
      </c>
      <c r="B289" s="111"/>
      <c r="C289" s="111"/>
      <c r="D289" s="111"/>
      <c r="E289" s="111"/>
      <c r="F289" s="111"/>
      <c r="G289" s="111"/>
      <c r="H289" s="117"/>
      <c r="I289" s="117"/>
      <c r="J289" s="117"/>
      <c r="K289" s="117"/>
      <c r="L289" s="117"/>
    </row>
    <row r="290" spans="1:12" ht="10.25" customHeight="1" x14ac:dyDescent="0.15">
      <c r="A290" s="115" t="s">
        <v>388</v>
      </c>
      <c r="B290" s="111"/>
      <c r="C290" s="111"/>
      <c r="D290" s="111"/>
      <c r="E290" s="111"/>
      <c r="F290" s="111"/>
      <c r="G290" s="111"/>
      <c r="H290" s="117"/>
      <c r="I290" s="117"/>
      <c r="J290" s="117"/>
      <c r="K290" s="117"/>
      <c r="L290" s="117"/>
    </row>
    <row r="291" spans="1:12" ht="10.25" customHeight="1" x14ac:dyDescent="0.15">
      <c r="A291" s="118" t="s">
        <v>389</v>
      </c>
      <c r="B291" s="111">
        <v>674</v>
      </c>
      <c r="C291" s="111">
        <v>4336</v>
      </c>
      <c r="D291" s="111">
        <v>6.4</v>
      </c>
      <c r="E291" s="111">
        <v>37</v>
      </c>
      <c r="F291" s="111">
        <v>35</v>
      </c>
      <c r="G291" s="111">
        <v>411</v>
      </c>
      <c r="H291" s="117"/>
      <c r="I291" s="117"/>
      <c r="J291" s="117"/>
      <c r="K291" s="117"/>
      <c r="L291" s="117"/>
    </row>
    <row r="292" spans="1:12" ht="10.25" customHeight="1" x14ac:dyDescent="0.15">
      <c r="A292" s="118" t="s">
        <v>93</v>
      </c>
      <c r="B292" s="111">
        <v>1011</v>
      </c>
      <c r="C292" s="111">
        <v>9732</v>
      </c>
      <c r="D292" s="111">
        <v>9.6</v>
      </c>
      <c r="E292" s="111">
        <v>249</v>
      </c>
      <c r="F292" s="111">
        <v>242</v>
      </c>
      <c r="G292" s="111">
        <v>2223</v>
      </c>
      <c r="H292" s="117"/>
      <c r="I292" s="117"/>
      <c r="J292" s="117"/>
      <c r="K292" s="117"/>
      <c r="L292" s="117"/>
    </row>
    <row r="293" spans="1:12" ht="10.25" customHeight="1" x14ac:dyDescent="0.15">
      <c r="A293" s="118" t="s">
        <v>94</v>
      </c>
      <c r="B293" s="111">
        <v>339</v>
      </c>
      <c r="C293" s="111">
        <v>6254</v>
      </c>
      <c r="D293" s="111">
        <v>18.5</v>
      </c>
      <c r="E293" s="111">
        <v>247</v>
      </c>
      <c r="F293" s="111">
        <v>239</v>
      </c>
      <c r="G293" s="111">
        <v>2042</v>
      </c>
      <c r="H293" s="117"/>
      <c r="I293" s="117"/>
      <c r="J293" s="117"/>
      <c r="K293" s="117"/>
      <c r="L293" s="117"/>
    </row>
    <row r="294" spans="1:12" ht="10.25" customHeight="1" x14ac:dyDescent="0.15">
      <c r="A294" s="118" t="s">
        <v>95</v>
      </c>
      <c r="B294" s="111">
        <v>232</v>
      </c>
      <c r="C294" s="111">
        <v>7767</v>
      </c>
      <c r="D294" s="111">
        <v>33.5</v>
      </c>
      <c r="E294" s="111">
        <v>360</v>
      </c>
      <c r="F294" s="111">
        <v>349</v>
      </c>
      <c r="G294" s="111">
        <v>2796</v>
      </c>
      <c r="H294" s="117"/>
      <c r="I294" s="117"/>
      <c r="J294" s="117"/>
      <c r="K294" s="117"/>
      <c r="L294" s="117"/>
    </row>
    <row r="295" spans="1:12" ht="10.25" customHeight="1" x14ac:dyDescent="0.15">
      <c r="A295" s="118" t="s">
        <v>96</v>
      </c>
      <c r="B295" s="111">
        <v>85</v>
      </c>
      <c r="C295" s="111">
        <v>5534</v>
      </c>
      <c r="D295" s="111">
        <v>65.3</v>
      </c>
      <c r="E295" s="111">
        <v>293</v>
      </c>
      <c r="F295" s="111">
        <v>284</v>
      </c>
      <c r="G295" s="111">
        <v>2161</v>
      </c>
      <c r="H295" s="117"/>
      <c r="I295" s="117"/>
      <c r="J295" s="117"/>
      <c r="K295" s="117"/>
      <c r="L295" s="117"/>
    </row>
    <row r="296" spans="1:12" ht="10.25" customHeight="1" x14ac:dyDescent="0.15">
      <c r="A296" s="118" t="s">
        <v>97</v>
      </c>
      <c r="B296" s="111">
        <v>30</v>
      </c>
      <c r="C296" s="111">
        <v>3969</v>
      </c>
      <c r="D296" s="111">
        <v>132.4</v>
      </c>
      <c r="E296" s="111">
        <v>218</v>
      </c>
      <c r="F296" s="111">
        <v>211</v>
      </c>
      <c r="G296" s="111">
        <v>1450</v>
      </c>
      <c r="H296" s="117"/>
      <c r="I296" s="117"/>
      <c r="J296" s="117"/>
      <c r="K296" s="117"/>
      <c r="L296" s="117"/>
    </row>
    <row r="297" spans="1:12" ht="10.25" customHeight="1" x14ac:dyDescent="0.15">
      <c r="A297" s="118" t="s">
        <v>390</v>
      </c>
      <c r="B297" s="111">
        <v>21</v>
      </c>
      <c r="C297" s="111">
        <v>5875</v>
      </c>
      <c r="D297" s="111">
        <v>285.2</v>
      </c>
      <c r="E297" s="111">
        <v>525</v>
      </c>
      <c r="F297" s="111">
        <v>510</v>
      </c>
      <c r="G297" s="111">
        <v>3441</v>
      </c>
      <c r="H297" s="117"/>
      <c r="I297" s="117"/>
      <c r="J297" s="117"/>
      <c r="K297" s="117"/>
      <c r="L297" s="117"/>
    </row>
    <row r="298" spans="1:12" ht="10.25" customHeight="1" x14ac:dyDescent="0.15">
      <c r="A298" s="114"/>
      <c r="B298" s="111"/>
      <c r="C298" s="111"/>
      <c r="D298" s="111"/>
      <c r="E298" s="111"/>
      <c r="F298" s="111"/>
      <c r="G298" s="111"/>
      <c r="H298" s="117"/>
      <c r="I298" s="117"/>
      <c r="J298" s="117"/>
      <c r="K298" s="117"/>
      <c r="L298" s="117"/>
    </row>
    <row r="299" spans="1:12" ht="10.25" customHeight="1" x14ac:dyDescent="0.15">
      <c r="A299" s="115" t="s">
        <v>391</v>
      </c>
      <c r="B299" s="111"/>
      <c r="C299" s="111"/>
      <c r="D299" s="111"/>
      <c r="E299" s="111"/>
      <c r="F299" s="111"/>
      <c r="G299" s="111"/>
      <c r="H299" s="117"/>
      <c r="I299" s="117"/>
      <c r="J299" s="117"/>
      <c r="K299" s="117"/>
      <c r="L299" s="117"/>
    </row>
    <row r="300" spans="1:12" ht="10.25" customHeight="1" x14ac:dyDescent="0.15">
      <c r="A300" s="115" t="s">
        <v>155</v>
      </c>
      <c r="B300" s="111"/>
      <c r="C300" s="111"/>
      <c r="D300" s="111"/>
      <c r="E300" s="111"/>
      <c r="F300" s="111"/>
      <c r="G300" s="111"/>
      <c r="H300" s="117"/>
      <c r="I300" s="117"/>
      <c r="J300" s="117"/>
      <c r="K300" s="117"/>
      <c r="L300" s="117"/>
    </row>
    <row r="301" spans="1:12" ht="10.25" customHeight="1" x14ac:dyDescent="0.15">
      <c r="A301" s="118" t="s">
        <v>373</v>
      </c>
      <c r="B301" s="111">
        <v>2255</v>
      </c>
      <c r="C301" s="111">
        <v>38362</v>
      </c>
      <c r="D301" s="111">
        <v>17</v>
      </c>
      <c r="E301" s="111">
        <v>1631</v>
      </c>
      <c r="F301" s="111">
        <v>1582</v>
      </c>
      <c r="G301" s="111">
        <v>12577</v>
      </c>
      <c r="H301" s="117"/>
      <c r="I301" s="117"/>
      <c r="J301" s="117"/>
      <c r="K301" s="117"/>
      <c r="L301" s="117"/>
    </row>
    <row r="302" spans="1:12" ht="10.25" customHeight="1" x14ac:dyDescent="0.15">
      <c r="A302" s="118" t="s">
        <v>374</v>
      </c>
      <c r="B302" s="111">
        <v>149</v>
      </c>
      <c r="C302" s="111">
        <v>6372</v>
      </c>
      <c r="D302" s="111">
        <v>42.6</v>
      </c>
      <c r="E302" s="111">
        <v>389</v>
      </c>
      <c r="F302" s="111">
        <v>377</v>
      </c>
      <c r="G302" s="111">
        <v>2537</v>
      </c>
      <c r="H302" s="117"/>
      <c r="I302" s="117"/>
      <c r="J302" s="117"/>
      <c r="K302" s="117"/>
      <c r="L302" s="117"/>
    </row>
    <row r="303" spans="1:12" ht="10.25" customHeight="1" x14ac:dyDescent="0.15">
      <c r="B303" s="117"/>
      <c r="C303" s="117"/>
      <c r="D303" s="117"/>
      <c r="E303" s="117"/>
      <c r="F303" s="117"/>
      <c r="G303" s="117"/>
      <c r="H303" s="117"/>
      <c r="I303" s="117"/>
      <c r="J303" s="117"/>
      <c r="K303" s="117"/>
      <c r="L303" s="117"/>
    </row>
    <row r="304" spans="1:12" s="43" customFormat="1" ht="101.25" customHeight="1" x14ac:dyDescent="0.15">
      <c r="A304" s="1356" t="s">
        <v>392</v>
      </c>
      <c r="B304" s="1357"/>
      <c r="C304" s="1357"/>
      <c r="D304" s="1357"/>
      <c r="E304" s="1357"/>
      <c r="F304" s="1357"/>
      <c r="G304" s="1357"/>
      <c r="H304" s="120"/>
      <c r="I304" s="132"/>
      <c r="J304" s="132"/>
    </row>
    <row r="305" spans="1:12" ht="55.5" customHeight="1" x14ac:dyDescent="0.15">
      <c r="A305" s="1379" t="s">
        <v>393</v>
      </c>
      <c r="B305" s="1380"/>
      <c r="C305" s="1380"/>
      <c r="D305" s="1380"/>
      <c r="E305" s="1380"/>
      <c r="F305" s="1380"/>
      <c r="G305" s="1380"/>
      <c r="H305" s="117"/>
      <c r="I305" s="117"/>
      <c r="J305" s="117"/>
      <c r="K305" s="117"/>
      <c r="L305" s="117"/>
    </row>
    <row r="306" spans="1:12" ht="10.25" customHeight="1" x14ac:dyDescent="0.15">
      <c r="B306" s="117"/>
      <c r="C306" s="117"/>
      <c r="D306" s="117"/>
      <c r="E306" s="117"/>
      <c r="F306" s="117"/>
      <c r="G306" s="117"/>
      <c r="H306" s="117"/>
      <c r="I306" s="117"/>
      <c r="J306" s="117"/>
      <c r="K306" s="117"/>
      <c r="L306" s="117"/>
    </row>
    <row r="307" spans="1:12" ht="10.25" customHeight="1" x14ac:dyDescent="0.15">
      <c r="B307" s="117"/>
      <c r="C307" s="117"/>
      <c r="D307" s="117"/>
      <c r="E307" s="117"/>
      <c r="F307" s="117"/>
      <c r="G307" s="117"/>
      <c r="H307" s="117"/>
      <c r="I307" s="117"/>
      <c r="J307" s="117"/>
      <c r="K307" s="117"/>
      <c r="L307" s="117"/>
    </row>
    <row r="308" spans="1:12" ht="10.25" customHeight="1" x14ac:dyDescent="0.15">
      <c r="B308" s="117"/>
      <c r="C308" s="117"/>
      <c r="D308" s="117"/>
      <c r="E308" s="117"/>
      <c r="F308" s="117"/>
      <c r="G308" s="117"/>
      <c r="H308" s="117"/>
      <c r="I308" s="117"/>
      <c r="J308" s="117"/>
      <c r="K308" s="117"/>
      <c r="L308" s="117"/>
    </row>
    <row r="309" spans="1:12" ht="10.25" customHeight="1" x14ac:dyDescent="0.15">
      <c r="B309" s="117"/>
      <c r="C309" s="117"/>
      <c r="D309" s="117"/>
      <c r="E309" s="117"/>
      <c r="F309" s="117"/>
      <c r="G309" s="117"/>
      <c r="H309" s="117"/>
      <c r="I309" s="117"/>
      <c r="J309" s="117"/>
      <c r="K309" s="117"/>
      <c r="L309" s="117"/>
    </row>
    <row r="310" spans="1:12" ht="10.25" customHeight="1" x14ac:dyDescent="0.15">
      <c r="B310" s="117"/>
      <c r="C310" s="117"/>
      <c r="D310" s="117"/>
      <c r="E310" s="117"/>
      <c r="F310" s="117"/>
      <c r="G310" s="117"/>
      <c r="H310" s="117"/>
      <c r="I310" s="117"/>
      <c r="J310" s="117"/>
      <c r="K310" s="117"/>
      <c r="L310" s="117"/>
    </row>
    <row r="311" spans="1:12" ht="10.25" customHeight="1" x14ac:dyDescent="0.15">
      <c r="B311" s="117"/>
      <c r="C311" s="117"/>
      <c r="D311" s="117"/>
      <c r="E311" s="117"/>
      <c r="F311" s="117"/>
      <c r="G311" s="117"/>
      <c r="H311" s="117"/>
      <c r="I311" s="117"/>
      <c r="J311" s="117"/>
      <c r="K311" s="117"/>
      <c r="L311" s="117"/>
    </row>
    <row r="312" spans="1:12" ht="10.25" customHeight="1" x14ac:dyDescent="0.15">
      <c r="B312" s="117"/>
      <c r="C312" s="117"/>
      <c r="D312" s="117"/>
      <c r="E312" s="117"/>
      <c r="F312" s="117"/>
      <c r="G312" s="117"/>
      <c r="H312" s="117"/>
      <c r="I312" s="117"/>
      <c r="J312" s="117"/>
      <c r="K312" s="117"/>
      <c r="L312" s="117"/>
    </row>
    <row r="313" spans="1:12" ht="10.25" customHeight="1" x14ac:dyDescent="0.15">
      <c r="B313" s="117"/>
      <c r="C313" s="117"/>
      <c r="D313" s="117"/>
      <c r="E313" s="117"/>
      <c r="F313" s="117"/>
      <c r="G313" s="117"/>
      <c r="H313" s="117"/>
      <c r="I313" s="117"/>
      <c r="J313" s="117"/>
      <c r="K313" s="117"/>
      <c r="L313" s="117"/>
    </row>
    <row r="314" spans="1:12" ht="10.25" customHeight="1" x14ac:dyDescent="0.15">
      <c r="B314" s="117"/>
      <c r="C314" s="117"/>
      <c r="D314" s="117"/>
      <c r="E314" s="117"/>
      <c r="F314" s="117"/>
      <c r="G314" s="117"/>
      <c r="H314" s="117"/>
      <c r="I314" s="117"/>
      <c r="J314" s="117"/>
      <c r="K314" s="117"/>
      <c r="L314" s="117"/>
    </row>
    <row r="315" spans="1:12" ht="10.25" customHeight="1" x14ac:dyDescent="0.15">
      <c r="B315" s="117"/>
      <c r="C315" s="117"/>
      <c r="D315" s="117"/>
      <c r="E315" s="117"/>
      <c r="F315" s="117"/>
      <c r="G315" s="117"/>
      <c r="H315" s="117"/>
      <c r="I315" s="117"/>
      <c r="J315" s="117"/>
      <c r="K315" s="117"/>
      <c r="L315" s="117"/>
    </row>
    <row r="316" spans="1:12" ht="10.25" customHeight="1" x14ac:dyDescent="0.15">
      <c r="B316" s="117"/>
      <c r="C316" s="117"/>
      <c r="D316" s="117"/>
      <c r="E316" s="117"/>
      <c r="F316" s="117"/>
      <c r="G316" s="117"/>
      <c r="H316" s="117"/>
      <c r="I316" s="117"/>
      <c r="J316" s="117"/>
      <c r="K316" s="117"/>
      <c r="L316" s="117"/>
    </row>
    <row r="317" spans="1:12" ht="10.25" customHeight="1" x14ac:dyDescent="0.15">
      <c r="B317" s="117"/>
      <c r="C317" s="117"/>
      <c r="D317" s="117"/>
      <c r="E317" s="117"/>
      <c r="F317" s="117"/>
      <c r="G317" s="117"/>
      <c r="H317" s="117"/>
      <c r="I317" s="117"/>
      <c r="J317" s="117"/>
      <c r="K317" s="117"/>
      <c r="L317" s="117"/>
    </row>
    <row r="318" spans="1:12" ht="10.25" customHeight="1" x14ac:dyDescent="0.15">
      <c r="B318" s="117"/>
      <c r="C318" s="117"/>
      <c r="D318" s="117"/>
      <c r="E318" s="117"/>
      <c r="F318" s="117"/>
      <c r="G318" s="117"/>
      <c r="H318" s="117"/>
      <c r="I318" s="117"/>
      <c r="J318" s="117"/>
      <c r="K318" s="117"/>
      <c r="L318" s="117"/>
    </row>
    <row r="319" spans="1:12" ht="10.25" customHeight="1" x14ac:dyDescent="0.15">
      <c r="B319" s="117"/>
      <c r="C319" s="117"/>
      <c r="D319" s="117"/>
      <c r="E319" s="117"/>
      <c r="F319" s="117"/>
      <c r="G319" s="117"/>
      <c r="H319" s="117"/>
      <c r="I319" s="117"/>
      <c r="J319" s="117"/>
      <c r="K319" s="117"/>
      <c r="L319" s="117"/>
    </row>
    <row r="320" spans="1:12" ht="10.25" customHeight="1" x14ac:dyDescent="0.15">
      <c r="B320" s="117"/>
      <c r="C320" s="117"/>
      <c r="D320" s="117"/>
      <c r="E320" s="117"/>
      <c r="F320" s="117"/>
      <c r="G320" s="117"/>
      <c r="H320" s="117"/>
      <c r="I320" s="117"/>
      <c r="J320" s="117"/>
      <c r="K320" s="117"/>
      <c r="L320" s="117"/>
    </row>
    <row r="321" spans="2:12" ht="10.25" customHeight="1" x14ac:dyDescent="0.15">
      <c r="B321" s="117"/>
      <c r="C321" s="117"/>
      <c r="D321" s="117"/>
      <c r="E321" s="117"/>
      <c r="F321" s="117"/>
      <c r="G321" s="117"/>
      <c r="H321" s="117"/>
      <c r="I321" s="117"/>
      <c r="J321" s="117"/>
      <c r="K321" s="117"/>
      <c r="L321" s="117"/>
    </row>
    <row r="322" spans="2:12" ht="10.25" customHeight="1" x14ac:dyDescent="0.15">
      <c r="B322" s="117"/>
      <c r="C322" s="117"/>
      <c r="D322" s="117"/>
      <c r="E322" s="117"/>
      <c r="F322" s="117"/>
      <c r="G322" s="117"/>
      <c r="H322" s="117"/>
      <c r="I322" s="117"/>
      <c r="J322" s="117"/>
      <c r="K322" s="117"/>
      <c r="L322" s="117"/>
    </row>
    <row r="323" spans="2:12" ht="10.25" customHeight="1" x14ac:dyDescent="0.15">
      <c r="B323" s="117"/>
      <c r="C323" s="117"/>
      <c r="D323" s="117"/>
      <c r="E323" s="117"/>
      <c r="F323" s="117"/>
      <c r="G323" s="117"/>
      <c r="H323" s="117"/>
      <c r="I323" s="117"/>
      <c r="J323" s="117"/>
      <c r="K323" s="117"/>
      <c r="L323" s="117"/>
    </row>
    <row r="324" spans="2:12" ht="10.25" customHeight="1" x14ac:dyDescent="0.15">
      <c r="B324" s="117"/>
      <c r="C324" s="117"/>
      <c r="D324" s="117"/>
      <c r="E324" s="117"/>
      <c r="F324" s="117"/>
      <c r="G324" s="117"/>
      <c r="H324" s="117"/>
      <c r="I324" s="117"/>
      <c r="J324" s="117"/>
      <c r="K324" s="117"/>
      <c r="L324" s="117"/>
    </row>
    <row r="325" spans="2:12" ht="10.25" customHeight="1" x14ac:dyDescent="0.15">
      <c r="B325" s="117"/>
      <c r="C325" s="117"/>
      <c r="D325" s="117"/>
      <c r="E325" s="117"/>
      <c r="F325" s="117"/>
      <c r="G325" s="117"/>
      <c r="H325" s="117"/>
      <c r="I325" s="117"/>
      <c r="J325" s="117"/>
      <c r="K325" s="117"/>
      <c r="L325" s="117"/>
    </row>
    <row r="326" spans="2:12" ht="10.25" customHeight="1" x14ac:dyDescent="0.15">
      <c r="B326" s="117"/>
      <c r="C326" s="117"/>
      <c r="D326" s="117"/>
      <c r="E326" s="117"/>
      <c r="F326" s="117"/>
      <c r="G326" s="117"/>
      <c r="H326" s="117"/>
      <c r="I326" s="117"/>
      <c r="J326" s="117"/>
      <c r="K326" s="117"/>
      <c r="L326" s="117"/>
    </row>
    <row r="327" spans="2:12" ht="10.25" customHeight="1" x14ac:dyDescent="0.15">
      <c r="B327" s="117"/>
      <c r="C327" s="117"/>
      <c r="D327" s="117"/>
      <c r="E327" s="117"/>
      <c r="F327" s="117"/>
      <c r="G327" s="117"/>
      <c r="H327" s="117"/>
      <c r="I327" s="117"/>
      <c r="J327" s="117"/>
      <c r="K327" s="117"/>
      <c r="L327" s="117"/>
    </row>
    <row r="328" spans="2:12" ht="10.25" customHeight="1" x14ac:dyDescent="0.15">
      <c r="B328" s="117"/>
      <c r="C328" s="117"/>
      <c r="D328" s="117"/>
      <c r="E328" s="117"/>
      <c r="F328" s="117"/>
      <c r="G328" s="117"/>
      <c r="H328" s="117"/>
      <c r="I328" s="117"/>
      <c r="J328" s="117"/>
      <c r="K328" s="117"/>
      <c r="L328" s="117"/>
    </row>
    <row r="329" spans="2:12" ht="10.25" customHeight="1" x14ac:dyDescent="0.15">
      <c r="B329" s="117"/>
      <c r="C329" s="117"/>
      <c r="D329" s="117"/>
      <c r="E329" s="117"/>
      <c r="F329" s="117"/>
      <c r="G329" s="117"/>
      <c r="H329" s="117"/>
      <c r="I329" s="117"/>
      <c r="J329" s="117"/>
      <c r="K329" s="117"/>
      <c r="L329" s="117"/>
    </row>
    <row r="330" spans="2:12" ht="10.25" customHeight="1" x14ac:dyDescent="0.15">
      <c r="B330" s="117"/>
      <c r="C330" s="117"/>
      <c r="D330" s="117"/>
      <c r="E330" s="117"/>
      <c r="F330" s="117"/>
      <c r="G330" s="117"/>
      <c r="H330" s="117"/>
      <c r="I330" s="117"/>
      <c r="J330" s="117"/>
      <c r="K330" s="117"/>
      <c r="L330" s="117"/>
    </row>
    <row r="331" spans="2:12" ht="10.25" customHeight="1" x14ac:dyDescent="0.15">
      <c r="B331" s="117"/>
      <c r="C331" s="117"/>
      <c r="D331" s="117"/>
      <c r="E331" s="117"/>
      <c r="F331" s="117"/>
      <c r="G331" s="117"/>
      <c r="H331" s="117"/>
      <c r="I331" s="117"/>
      <c r="J331" s="117"/>
      <c r="K331" s="117"/>
      <c r="L331" s="117"/>
    </row>
    <row r="332" spans="2:12" ht="10.25" customHeight="1" x14ac:dyDescent="0.15">
      <c r="B332" s="117"/>
      <c r="C332" s="117"/>
      <c r="D332" s="117"/>
      <c r="E332" s="117"/>
      <c r="F332" s="117"/>
      <c r="G332" s="117"/>
      <c r="H332" s="117"/>
      <c r="I332" s="117"/>
      <c r="J332" s="117"/>
      <c r="K332" s="117"/>
      <c r="L332" s="117"/>
    </row>
    <row r="333" spans="2:12" ht="10.25" customHeight="1" x14ac:dyDescent="0.15">
      <c r="B333" s="117"/>
      <c r="C333" s="117"/>
      <c r="D333" s="117"/>
      <c r="E333" s="117"/>
      <c r="F333" s="117"/>
      <c r="G333" s="117"/>
      <c r="H333" s="117"/>
      <c r="I333" s="117"/>
      <c r="J333" s="117"/>
      <c r="K333" s="117"/>
      <c r="L333" s="117"/>
    </row>
    <row r="334" spans="2:12" ht="10.25" customHeight="1" x14ac:dyDescent="0.15">
      <c r="B334" s="117"/>
      <c r="C334" s="117"/>
      <c r="D334" s="117"/>
      <c r="E334" s="117"/>
      <c r="F334" s="117"/>
      <c r="G334" s="117"/>
      <c r="H334" s="117"/>
      <c r="I334" s="117"/>
      <c r="J334" s="117"/>
      <c r="K334" s="117"/>
      <c r="L334" s="117"/>
    </row>
    <row r="335" spans="2:12" ht="10.25" customHeight="1" x14ac:dyDescent="0.15">
      <c r="B335" s="117"/>
      <c r="C335" s="117"/>
      <c r="D335" s="117"/>
      <c r="E335" s="117"/>
      <c r="F335" s="117"/>
      <c r="G335" s="117"/>
      <c r="H335" s="117"/>
      <c r="I335" s="117"/>
      <c r="J335" s="117"/>
      <c r="K335" s="117"/>
      <c r="L335" s="117"/>
    </row>
    <row r="336" spans="2:12" ht="10.25" customHeight="1" x14ac:dyDescent="0.15">
      <c r="B336" s="117"/>
      <c r="C336" s="117"/>
      <c r="D336" s="117"/>
      <c r="E336" s="117"/>
      <c r="F336" s="117"/>
      <c r="G336" s="117"/>
      <c r="H336" s="117"/>
      <c r="I336" s="117"/>
      <c r="J336" s="117"/>
      <c r="K336" s="117"/>
      <c r="L336" s="117"/>
    </row>
    <row r="337" spans="2:12" ht="10.25" customHeight="1" x14ac:dyDescent="0.15">
      <c r="B337" s="117"/>
      <c r="C337" s="117"/>
      <c r="D337" s="117"/>
      <c r="E337" s="117"/>
      <c r="F337" s="117"/>
      <c r="G337" s="117"/>
      <c r="H337" s="117"/>
      <c r="I337" s="117"/>
      <c r="J337" s="117"/>
      <c r="K337" s="117"/>
      <c r="L337" s="117"/>
    </row>
    <row r="338" spans="2:12" ht="10.25" customHeight="1" x14ac:dyDescent="0.15">
      <c r="B338" s="117"/>
      <c r="C338" s="117"/>
      <c r="D338" s="117"/>
      <c r="E338" s="117"/>
      <c r="F338" s="117"/>
      <c r="G338" s="117"/>
      <c r="H338" s="117"/>
      <c r="I338" s="117"/>
      <c r="J338" s="117"/>
      <c r="K338" s="117"/>
      <c r="L338" s="117"/>
    </row>
    <row r="339" spans="2:12" ht="10.25" customHeight="1" x14ac:dyDescent="0.15">
      <c r="B339" s="117"/>
      <c r="C339" s="117"/>
      <c r="D339" s="117"/>
      <c r="E339" s="117"/>
      <c r="F339" s="117"/>
      <c r="G339" s="117"/>
      <c r="H339" s="117"/>
      <c r="I339" s="117"/>
      <c r="J339" s="117"/>
      <c r="K339" s="117"/>
      <c r="L339" s="117"/>
    </row>
    <row r="340" spans="2:12" ht="10.25" customHeight="1" x14ac:dyDescent="0.15">
      <c r="B340" s="117"/>
      <c r="C340" s="117"/>
      <c r="D340" s="117"/>
      <c r="E340" s="117"/>
      <c r="F340" s="117"/>
      <c r="G340" s="117"/>
      <c r="H340" s="117"/>
      <c r="I340" s="117"/>
      <c r="J340" s="117"/>
      <c r="K340" s="117"/>
      <c r="L340" s="117"/>
    </row>
    <row r="341" spans="2:12" ht="10.25" customHeight="1" x14ac:dyDescent="0.15">
      <c r="B341" s="117"/>
      <c r="C341" s="117"/>
      <c r="D341" s="117"/>
      <c r="E341" s="117"/>
      <c r="F341" s="117"/>
      <c r="G341" s="117"/>
      <c r="H341" s="117"/>
      <c r="I341" s="117"/>
      <c r="J341" s="117"/>
      <c r="K341" s="117"/>
      <c r="L341" s="117"/>
    </row>
    <row r="342" spans="2:12" ht="10.25" customHeight="1" x14ac:dyDescent="0.15">
      <c r="B342" s="117"/>
      <c r="C342" s="117"/>
      <c r="D342" s="117"/>
      <c r="E342" s="117"/>
      <c r="F342" s="117"/>
      <c r="G342" s="117"/>
      <c r="H342" s="117"/>
      <c r="I342" s="117"/>
      <c r="J342" s="117"/>
      <c r="K342" s="117"/>
      <c r="L342" s="117"/>
    </row>
    <row r="343" spans="2:12" ht="10.25" customHeight="1" x14ac:dyDescent="0.15">
      <c r="B343" s="117"/>
      <c r="C343" s="117"/>
      <c r="D343" s="117"/>
      <c r="E343" s="117"/>
      <c r="F343" s="117"/>
      <c r="G343" s="117"/>
      <c r="H343" s="117"/>
      <c r="I343" s="117"/>
      <c r="J343" s="117"/>
      <c r="K343" s="117"/>
      <c r="L343" s="117"/>
    </row>
    <row r="344" spans="2:12" ht="10.25" customHeight="1" x14ac:dyDescent="0.15">
      <c r="B344" s="117"/>
      <c r="C344" s="117"/>
      <c r="D344" s="117"/>
      <c r="E344" s="117"/>
      <c r="F344" s="117"/>
      <c r="G344" s="117"/>
      <c r="H344" s="117"/>
      <c r="I344" s="117"/>
      <c r="J344" s="117"/>
      <c r="K344" s="117"/>
      <c r="L344" s="117"/>
    </row>
    <row r="345" spans="2:12" ht="10.25" customHeight="1" x14ac:dyDescent="0.15">
      <c r="B345" s="117"/>
      <c r="C345" s="117"/>
      <c r="D345" s="117"/>
      <c r="E345" s="117"/>
      <c r="F345" s="117"/>
      <c r="G345" s="117"/>
      <c r="H345" s="117"/>
      <c r="I345" s="117"/>
      <c r="J345" s="117"/>
      <c r="K345" s="117"/>
      <c r="L345" s="117"/>
    </row>
    <row r="346" spans="2:12" ht="10.25" customHeight="1" x14ac:dyDescent="0.15">
      <c r="B346" s="117"/>
      <c r="C346" s="117"/>
      <c r="D346" s="117"/>
      <c r="E346" s="117"/>
      <c r="F346" s="117"/>
      <c r="G346" s="117"/>
      <c r="H346" s="117"/>
      <c r="I346" s="117"/>
      <c r="J346" s="117"/>
      <c r="K346" s="117"/>
      <c r="L346" s="117"/>
    </row>
    <row r="347" spans="2:12" ht="10.25" customHeight="1" x14ac:dyDescent="0.15">
      <c r="B347" s="117"/>
      <c r="C347" s="117"/>
      <c r="D347" s="117"/>
      <c r="E347" s="117"/>
      <c r="F347" s="117"/>
      <c r="G347" s="117"/>
      <c r="H347" s="117"/>
      <c r="I347" s="117"/>
      <c r="J347" s="117"/>
      <c r="K347" s="117"/>
      <c r="L347" s="117"/>
    </row>
    <row r="348" spans="2:12" ht="10.25" customHeight="1" x14ac:dyDescent="0.15">
      <c r="B348" s="117"/>
      <c r="C348" s="117"/>
      <c r="D348" s="117"/>
      <c r="E348" s="117"/>
      <c r="F348" s="117"/>
      <c r="G348" s="117"/>
      <c r="H348" s="117"/>
      <c r="I348" s="117"/>
      <c r="J348" s="117"/>
      <c r="K348" s="117"/>
      <c r="L348" s="117"/>
    </row>
    <row r="349" spans="2:12" ht="10.25" customHeight="1" x14ac:dyDescent="0.15">
      <c r="B349" s="117"/>
      <c r="C349" s="117"/>
      <c r="D349" s="117"/>
      <c r="E349" s="117"/>
      <c r="F349" s="117"/>
      <c r="G349" s="117"/>
      <c r="H349" s="117"/>
      <c r="I349" s="117"/>
      <c r="J349" s="117"/>
      <c r="K349" s="117"/>
      <c r="L349" s="117"/>
    </row>
    <row r="350" spans="2:12" ht="10.25" customHeight="1" x14ac:dyDescent="0.15">
      <c r="B350" s="117"/>
      <c r="C350" s="117"/>
      <c r="D350" s="117"/>
      <c r="E350" s="117"/>
      <c r="F350" s="117"/>
      <c r="G350" s="117"/>
      <c r="H350" s="117"/>
      <c r="I350" s="117"/>
      <c r="J350" s="117"/>
      <c r="K350" s="117"/>
      <c r="L350" s="117"/>
    </row>
    <row r="351" spans="2:12" ht="10.25" customHeight="1" x14ac:dyDescent="0.15">
      <c r="B351" s="117"/>
      <c r="C351" s="117"/>
      <c r="D351" s="117"/>
      <c r="E351" s="117"/>
      <c r="F351" s="117"/>
      <c r="G351" s="117"/>
      <c r="H351" s="117"/>
      <c r="I351" s="117"/>
      <c r="J351" s="117"/>
      <c r="K351" s="117"/>
      <c r="L351" s="117"/>
    </row>
    <row r="352" spans="2:12" ht="10.25" customHeight="1" x14ac:dyDescent="0.15">
      <c r="B352" s="117"/>
      <c r="C352" s="117"/>
      <c r="D352" s="117"/>
      <c r="E352" s="117"/>
      <c r="F352" s="117"/>
      <c r="G352" s="117"/>
      <c r="H352" s="117"/>
      <c r="I352" s="117"/>
      <c r="J352" s="117"/>
      <c r="K352" s="117"/>
      <c r="L352" s="117"/>
    </row>
    <row r="353" spans="2:12" ht="10.25" customHeight="1" x14ac:dyDescent="0.15">
      <c r="B353" s="117"/>
      <c r="C353" s="117"/>
      <c r="D353" s="117"/>
      <c r="E353" s="117"/>
      <c r="F353" s="117"/>
      <c r="G353" s="117"/>
      <c r="H353" s="117"/>
      <c r="I353" s="117"/>
      <c r="J353" s="117"/>
      <c r="K353" s="117"/>
      <c r="L353" s="117"/>
    </row>
    <row r="354" spans="2:12" ht="10.25" customHeight="1" x14ac:dyDescent="0.15">
      <c r="B354" s="117"/>
      <c r="C354" s="117"/>
      <c r="D354" s="117"/>
      <c r="E354" s="117"/>
      <c r="F354" s="117"/>
      <c r="G354" s="117"/>
      <c r="H354" s="117"/>
      <c r="I354" s="117"/>
      <c r="J354" s="117"/>
      <c r="K354" s="117"/>
      <c r="L354" s="117"/>
    </row>
    <row r="355" spans="2:12" ht="10.25" customHeight="1" x14ac:dyDescent="0.15">
      <c r="B355" s="117"/>
      <c r="C355" s="117"/>
      <c r="D355" s="117"/>
      <c r="E355" s="117"/>
      <c r="F355" s="117"/>
      <c r="G355" s="117"/>
      <c r="H355" s="117"/>
      <c r="I355" s="117"/>
      <c r="J355" s="117"/>
      <c r="K355" s="117"/>
      <c r="L355" s="117"/>
    </row>
    <row r="356" spans="2:12" ht="10.25" customHeight="1" x14ac:dyDescent="0.15">
      <c r="B356" s="117"/>
      <c r="C356" s="117"/>
      <c r="D356" s="117"/>
      <c r="E356" s="117"/>
      <c r="F356" s="117"/>
      <c r="G356" s="117"/>
      <c r="H356" s="117"/>
      <c r="I356" s="117"/>
      <c r="J356" s="117"/>
      <c r="K356" s="117"/>
      <c r="L356" s="117"/>
    </row>
    <row r="357" spans="2:12" ht="10.25" customHeight="1" x14ac:dyDescent="0.15">
      <c r="B357" s="117"/>
      <c r="C357" s="117"/>
      <c r="D357" s="117"/>
      <c r="E357" s="117"/>
      <c r="F357" s="117"/>
      <c r="G357" s="117"/>
      <c r="H357" s="117"/>
      <c r="I357" s="117"/>
      <c r="J357" s="117"/>
      <c r="K357" s="117"/>
      <c r="L357" s="117"/>
    </row>
    <row r="358" spans="2:12" ht="10.25" customHeight="1" x14ac:dyDescent="0.15">
      <c r="B358" s="117"/>
      <c r="C358" s="117"/>
      <c r="D358" s="117"/>
      <c r="E358" s="117"/>
      <c r="F358" s="117"/>
      <c r="G358" s="117"/>
      <c r="H358" s="117"/>
      <c r="I358" s="117"/>
      <c r="J358" s="117"/>
      <c r="K358" s="117"/>
      <c r="L358" s="117"/>
    </row>
    <row r="359" spans="2:12" ht="10.25" customHeight="1" x14ac:dyDescent="0.15">
      <c r="B359" s="117"/>
      <c r="C359" s="117"/>
      <c r="D359" s="117"/>
      <c r="E359" s="117"/>
      <c r="F359" s="117"/>
      <c r="G359" s="117"/>
      <c r="H359" s="117"/>
      <c r="I359" s="117"/>
      <c r="J359" s="117"/>
      <c r="K359" s="117"/>
      <c r="L359" s="117"/>
    </row>
    <row r="360" spans="2:12" ht="10.25" customHeight="1" x14ac:dyDescent="0.15">
      <c r="B360" s="117"/>
      <c r="C360" s="117"/>
      <c r="D360" s="117"/>
      <c r="E360" s="117"/>
      <c r="F360" s="117"/>
      <c r="G360" s="117"/>
      <c r="H360" s="117"/>
      <c r="I360" s="117"/>
      <c r="J360" s="117"/>
      <c r="K360" s="117"/>
      <c r="L360" s="117"/>
    </row>
    <row r="361" spans="2:12" ht="10.25" customHeight="1" x14ac:dyDescent="0.15">
      <c r="B361" s="117"/>
      <c r="C361" s="117"/>
      <c r="D361" s="117"/>
      <c r="E361" s="117"/>
      <c r="F361" s="117"/>
      <c r="G361" s="117"/>
      <c r="H361" s="117"/>
      <c r="I361" s="117"/>
      <c r="J361" s="117"/>
      <c r="K361" s="117"/>
      <c r="L361" s="117"/>
    </row>
    <row r="362" spans="2:12" ht="10.25" customHeight="1" x14ac:dyDescent="0.15">
      <c r="B362" s="117"/>
      <c r="C362" s="117"/>
      <c r="D362" s="117"/>
      <c r="E362" s="117"/>
      <c r="F362" s="117"/>
      <c r="G362" s="117"/>
      <c r="H362" s="117"/>
      <c r="I362" s="117"/>
      <c r="J362" s="117"/>
      <c r="K362" s="117"/>
      <c r="L362" s="117"/>
    </row>
    <row r="363" spans="2:12" ht="10.25" customHeight="1" x14ac:dyDescent="0.15">
      <c r="B363" s="117"/>
      <c r="C363" s="117"/>
      <c r="D363" s="117"/>
      <c r="E363" s="117"/>
      <c r="F363" s="117"/>
      <c r="G363" s="117"/>
      <c r="H363" s="117"/>
      <c r="I363" s="117"/>
      <c r="J363" s="117"/>
      <c r="K363" s="117"/>
      <c r="L363" s="117"/>
    </row>
    <row r="364" spans="2:12" ht="10.25" customHeight="1" x14ac:dyDescent="0.15">
      <c r="B364" s="117"/>
      <c r="C364" s="117"/>
      <c r="D364" s="117"/>
      <c r="E364" s="117"/>
      <c r="F364" s="117"/>
      <c r="G364" s="117"/>
      <c r="H364" s="117"/>
      <c r="I364" s="117"/>
      <c r="J364" s="117"/>
      <c r="K364" s="117"/>
      <c r="L364" s="117"/>
    </row>
    <row r="365" spans="2:12" ht="10.25" customHeight="1" x14ac:dyDescent="0.15">
      <c r="B365" s="117"/>
      <c r="C365" s="117"/>
      <c r="D365" s="117"/>
      <c r="E365" s="117"/>
      <c r="F365" s="117"/>
      <c r="G365" s="117"/>
      <c r="H365" s="117"/>
      <c r="I365" s="117"/>
      <c r="J365" s="117"/>
      <c r="K365" s="117"/>
      <c r="L365" s="117"/>
    </row>
    <row r="366" spans="2:12" ht="10.25" customHeight="1" x14ac:dyDescent="0.15">
      <c r="B366" s="117"/>
      <c r="C366" s="117"/>
      <c r="D366" s="117"/>
      <c r="E366" s="117"/>
      <c r="F366" s="117"/>
      <c r="G366" s="117"/>
      <c r="H366" s="117"/>
      <c r="I366" s="117"/>
      <c r="J366" s="117"/>
      <c r="K366" s="117"/>
      <c r="L366" s="117"/>
    </row>
    <row r="367" spans="2:12" ht="10.25" customHeight="1" x14ac:dyDescent="0.15">
      <c r="B367" s="117"/>
      <c r="C367" s="117"/>
      <c r="D367" s="117"/>
      <c r="E367" s="117"/>
      <c r="F367" s="117"/>
      <c r="G367" s="117"/>
      <c r="H367" s="117"/>
      <c r="I367" s="117"/>
      <c r="J367" s="117"/>
      <c r="K367" s="117"/>
      <c r="L367" s="117"/>
    </row>
    <row r="368" spans="2:12" ht="10.25" customHeight="1" x14ac:dyDescent="0.15">
      <c r="B368" s="117"/>
      <c r="C368" s="117"/>
      <c r="D368" s="117"/>
      <c r="E368" s="117"/>
      <c r="F368" s="117"/>
      <c r="G368" s="117"/>
      <c r="H368" s="117"/>
      <c r="I368" s="117"/>
      <c r="J368" s="117"/>
      <c r="K368" s="117"/>
      <c r="L368" s="117"/>
    </row>
    <row r="369" spans="2:12" ht="10.25" customHeight="1" x14ac:dyDescent="0.15">
      <c r="B369" s="117"/>
      <c r="C369" s="117"/>
      <c r="D369" s="117"/>
      <c r="E369" s="117"/>
      <c r="F369" s="117"/>
      <c r="G369" s="117"/>
      <c r="H369" s="117"/>
      <c r="I369" s="117"/>
      <c r="J369" s="117"/>
      <c r="K369" s="117"/>
      <c r="L369" s="117"/>
    </row>
    <row r="370" spans="2:12" ht="10.25" customHeight="1" x14ac:dyDescent="0.15">
      <c r="B370" s="117"/>
      <c r="C370" s="117"/>
      <c r="D370" s="117"/>
      <c r="E370" s="117"/>
      <c r="F370" s="117"/>
      <c r="G370" s="117"/>
      <c r="H370" s="117"/>
      <c r="I370" s="117"/>
      <c r="J370" s="117"/>
      <c r="K370" s="117"/>
      <c r="L370" s="117"/>
    </row>
    <row r="371" spans="2:12" ht="10.25" customHeight="1" x14ac:dyDescent="0.15">
      <c r="B371" s="117"/>
      <c r="C371" s="117"/>
      <c r="D371" s="117"/>
      <c r="E371" s="117"/>
      <c r="F371" s="117"/>
      <c r="G371" s="117"/>
      <c r="H371" s="117"/>
      <c r="I371" s="117"/>
      <c r="J371" s="117"/>
      <c r="K371" s="117"/>
      <c r="L371" s="117"/>
    </row>
    <row r="372" spans="2:12" ht="10.25" customHeight="1" x14ac:dyDescent="0.15">
      <c r="B372" s="117"/>
      <c r="C372" s="117"/>
      <c r="D372" s="117"/>
      <c r="E372" s="117"/>
      <c r="F372" s="117"/>
      <c r="G372" s="117"/>
      <c r="H372" s="117"/>
      <c r="I372" s="117"/>
      <c r="J372" s="117"/>
      <c r="K372" s="117"/>
      <c r="L372" s="117"/>
    </row>
    <row r="373" spans="2:12" ht="10.25" customHeight="1" x14ac:dyDescent="0.15">
      <c r="B373" s="117"/>
      <c r="C373" s="117"/>
      <c r="D373" s="117"/>
      <c r="E373" s="117"/>
      <c r="F373" s="117"/>
      <c r="G373" s="117"/>
      <c r="H373" s="117"/>
      <c r="I373" s="117"/>
      <c r="J373" s="117"/>
      <c r="K373" s="117"/>
      <c r="L373" s="117"/>
    </row>
    <row r="374" spans="2:12" ht="10.25" customHeight="1" x14ac:dyDescent="0.15">
      <c r="B374" s="117"/>
      <c r="C374" s="117"/>
      <c r="D374" s="117"/>
      <c r="E374" s="117"/>
      <c r="F374" s="117"/>
      <c r="G374" s="117"/>
      <c r="H374" s="117"/>
      <c r="I374" s="117"/>
      <c r="J374" s="117"/>
      <c r="K374" s="117"/>
      <c r="L374" s="117"/>
    </row>
    <row r="375" spans="2:12" ht="10.25" customHeight="1" x14ac:dyDescent="0.15">
      <c r="B375" s="117"/>
      <c r="C375" s="117"/>
      <c r="D375" s="117"/>
      <c r="E375" s="117"/>
      <c r="F375" s="117"/>
      <c r="G375" s="117"/>
      <c r="H375" s="117"/>
      <c r="I375" s="117"/>
      <c r="J375" s="117"/>
      <c r="K375" s="117"/>
      <c r="L375" s="117"/>
    </row>
    <row r="376" spans="2:12" ht="10.25" customHeight="1" x14ac:dyDescent="0.15">
      <c r="B376" s="117"/>
      <c r="C376" s="117"/>
      <c r="D376" s="117"/>
      <c r="E376" s="117"/>
      <c r="F376" s="117"/>
      <c r="G376" s="117"/>
      <c r="H376" s="117"/>
      <c r="I376" s="117"/>
      <c r="J376" s="117"/>
      <c r="K376" s="117"/>
      <c r="L376" s="117"/>
    </row>
    <row r="377" spans="2:12" ht="10.25" customHeight="1" x14ac:dyDescent="0.15">
      <c r="B377" s="117"/>
      <c r="C377" s="117"/>
      <c r="D377" s="117"/>
      <c r="E377" s="117"/>
      <c r="F377" s="117"/>
      <c r="G377" s="117"/>
      <c r="H377" s="117"/>
      <c r="I377" s="117"/>
      <c r="J377" s="117"/>
      <c r="K377" s="117"/>
      <c r="L377" s="117"/>
    </row>
    <row r="378" spans="2:12" ht="10.25" customHeight="1" x14ac:dyDescent="0.15">
      <c r="B378" s="117"/>
      <c r="C378" s="117"/>
      <c r="D378" s="117"/>
      <c r="E378" s="117"/>
      <c r="F378" s="117"/>
      <c r="G378" s="117"/>
      <c r="H378" s="117"/>
      <c r="I378" s="117"/>
      <c r="J378" s="117"/>
      <c r="K378" s="117"/>
      <c r="L378" s="117"/>
    </row>
    <row r="379" spans="2:12" ht="10.25" customHeight="1" x14ac:dyDescent="0.15">
      <c r="B379" s="117"/>
      <c r="C379" s="117"/>
      <c r="D379" s="117"/>
      <c r="E379" s="117"/>
      <c r="F379" s="117"/>
      <c r="G379" s="117"/>
      <c r="H379" s="117"/>
      <c r="I379" s="117"/>
      <c r="J379" s="117"/>
      <c r="K379" s="117"/>
      <c r="L379" s="117"/>
    </row>
    <row r="380" spans="2:12" ht="10.25" customHeight="1" x14ac:dyDescent="0.15">
      <c r="B380" s="117"/>
      <c r="C380" s="117"/>
      <c r="D380" s="117"/>
      <c r="E380" s="117"/>
      <c r="F380" s="117"/>
      <c r="G380" s="117"/>
      <c r="H380" s="117"/>
      <c r="I380" s="117"/>
      <c r="J380" s="117"/>
      <c r="K380" s="117"/>
      <c r="L380" s="117"/>
    </row>
    <row r="381" spans="2:12" ht="10.25" customHeight="1" x14ac:dyDescent="0.15">
      <c r="B381" s="117"/>
      <c r="C381" s="117"/>
      <c r="D381" s="117"/>
      <c r="E381" s="117"/>
      <c r="F381" s="117"/>
      <c r="G381" s="117"/>
      <c r="H381" s="117"/>
      <c r="I381" s="117"/>
      <c r="J381" s="117"/>
      <c r="K381" s="117"/>
      <c r="L381" s="117"/>
    </row>
    <row r="382" spans="2:12" ht="10.25" customHeight="1" x14ac:dyDescent="0.15">
      <c r="B382" s="117"/>
      <c r="C382" s="117"/>
      <c r="D382" s="117"/>
      <c r="E382" s="117"/>
      <c r="F382" s="117"/>
      <c r="G382" s="117"/>
      <c r="H382" s="117"/>
      <c r="I382" s="117"/>
      <c r="J382" s="117"/>
      <c r="K382" s="117"/>
      <c r="L382" s="117"/>
    </row>
    <row r="383" spans="2:12" ht="10.25" customHeight="1" x14ac:dyDescent="0.15">
      <c r="B383" s="117"/>
      <c r="C383" s="117"/>
      <c r="D383" s="117"/>
      <c r="E383" s="117"/>
      <c r="F383" s="117"/>
      <c r="G383" s="117"/>
      <c r="H383" s="117"/>
      <c r="I383" s="117"/>
      <c r="J383" s="117"/>
      <c r="K383" s="117"/>
      <c r="L383" s="117"/>
    </row>
    <row r="384" spans="2:12" ht="10.25" customHeight="1" x14ac:dyDescent="0.15">
      <c r="B384" s="117"/>
      <c r="C384" s="117"/>
      <c r="D384" s="117"/>
      <c r="E384" s="117"/>
      <c r="F384" s="117"/>
      <c r="G384" s="117"/>
      <c r="H384" s="117"/>
      <c r="I384" s="117"/>
      <c r="J384" s="117"/>
      <c r="K384" s="117"/>
      <c r="L384" s="117"/>
    </row>
    <row r="385" spans="2:12" ht="10.25" customHeight="1" x14ac:dyDescent="0.15">
      <c r="B385" s="117"/>
      <c r="C385" s="117"/>
      <c r="D385" s="117"/>
      <c r="E385" s="117"/>
      <c r="F385" s="117"/>
      <c r="G385" s="117"/>
      <c r="H385" s="117"/>
      <c r="I385" s="117"/>
      <c r="J385" s="117"/>
      <c r="K385" s="117"/>
      <c r="L385" s="117"/>
    </row>
    <row r="386" spans="2:12" ht="10.25" customHeight="1" x14ac:dyDescent="0.15">
      <c r="B386" s="117"/>
      <c r="C386" s="117"/>
      <c r="D386" s="117"/>
      <c r="E386" s="117"/>
      <c r="F386" s="117"/>
      <c r="G386" s="117"/>
      <c r="H386" s="117"/>
      <c r="I386" s="117"/>
      <c r="J386" s="117"/>
      <c r="K386" s="117"/>
      <c r="L386" s="117"/>
    </row>
    <row r="387" spans="2:12" ht="10.25" customHeight="1" x14ac:dyDescent="0.15">
      <c r="B387" s="117"/>
      <c r="C387" s="117"/>
      <c r="D387" s="117"/>
      <c r="E387" s="117"/>
      <c r="F387" s="117"/>
      <c r="G387" s="117"/>
      <c r="H387" s="117"/>
      <c r="I387" s="117"/>
      <c r="J387" s="117"/>
      <c r="K387" s="117"/>
      <c r="L387" s="117"/>
    </row>
    <row r="388" spans="2:12" ht="10.25" customHeight="1" x14ac:dyDescent="0.15">
      <c r="B388" s="117"/>
      <c r="C388" s="117"/>
      <c r="D388" s="117"/>
      <c r="E388" s="117"/>
      <c r="F388" s="117"/>
      <c r="G388" s="117"/>
      <c r="H388" s="117"/>
      <c r="I388" s="117"/>
      <c r="J388" s="117"/>
      <c r="K388" s="117"/>
      <c r="L388" s="117"/>
    </row>
    <row r="389" spans="2:12" ht="10.25" customHeight="1" x14ac:dyDescent="0.15">
      <c r="B389" s="117"/>
      <c r="C389" s="117"/>
      <c r="D389" s="117"/>
      <c r="E389" s="117"/>
      <c r="F389" s="117"/>
      <c r="G389" s="117"/>
      <c r="H389" s="117"/>
      <c r="I389" s="117"/>
      <c r="J389" s="117"/>
      <c r="K389" s="117"/>
      <c r="L389" s="117"/>
    </row>
    <row r="390" spans="2:12" ht="10.25" customHeight="1" x14ac:dyDescent="0.15">
      <c r="B390" s="117"/>
      <c r="C390" s="117"/>
      <c r="D390" s="117"/>
      <c r="E390" s="117"/>
      <c r="F390" s="117"/>
      <c r="G390" s="117"/>
      <c r="H390" s="117"/>
      <c r="I390" s="117"/>
      <c r="J390" s="117"/>
      <c r="K390" s="117"/>
      <c r="L390" s="117"/>
    </row>
    <row r="391" spans="2:12" ht="10.25" customHeight="1" x14ac:dyDescent="0.15">
      <c r="B391" s="117"/>
      <c r="C391" s="117"/>
      <c r="D391" s="117"/>
      <c r="E391" s="117"/>
      <c r="F391" s="117"/>
      <c r="G391" s="117"/>
      <c r="H391" s="117"/>
      <c r="I391" s="117"/>
      <c r="J391" s="117"/>
      <c r="K391" s="117"/>
      <c r="L391" s="117"/>
    </row>
    <row r="392" spans="2:12" ht="10.25" customHeight="1" x14ac:dyDescent="0.15">
      <c r="B392" s="117"/>
      <c r="C392" s="117"/>
      <c r="D392" s="117"/>
      <c r="E392" s="117"/>
      <c r="F392" s="117"/>
      <c r="G392" s="117"/>
      <c r="H392" s="117"/>
      <c r="I392" s="117"/>
      <c r="J392" s="117"/>
      <c r="K392" s="117"/>
      <c r="L392" s="117"/>
    </row>
    <row r="393" spans="2:12" ht="10.25" customHeight="1" x14ac:dyDescent="0.15">
      <c r="B393" s="117"/>
      <c r="C393" s="117"/>
      <c r="D393" s="117"/>
      <c r="E393" s="117"/>
      <c r="F393" s="117"/>
      <c r="G393" s="117"/>
      <c r="H393" s="117"/>
      <c r="I393" s="117"/>
      <c r="J393" s="117"/>
      <c r="K393" s="117"/>
      <c r="L393" s="117"/>
    </row>
    <row r="394" spans="2:12" ht="10.25" customHeight="1" x14ac:dyDescent="0.15">
      <c r="B394" s="117"/>
      <c r="C394" s="117"/>
      <c r="D394" s="117"/>
      <c r="E394" s="117"/>
      <c r="F394" s="117"/>
      <c r="G394" s="117"/>
      <c r="H394" s="117"/>
      <c r="I394" s="117"/>
      <c r="J394" s="117"/>
      <c r="K394" s="117"/>
      <c r="L394" s="117"/>
    </row>
    <row r="395" spans="2:12" ht="10.25" customHeight="1" x14ac:dyDescent="0.15">
      <c r="B395" s="117"/>
      <c r="C395" s="117"/>
      <c r="D395" s="117"/>
      <c r="E395" s="117"/>
      <c r="F395" s="117"/>
      <c r="G395" s="117"/>
      <c r="H395" s="117"/>
      <c r="I395" s="117"/>
      <c r="J395" s="117"/>
      <c r="K395" s="117"/>
      <c r="L395" s="117"/>
    </row>
    <row r="396" spans="2:12" ht="10.25" customHeight="1" x14ac:dyDescent="0.15">
      <c r="B396" s="117"/>
      <c r="C396" s="117"/>
      <c r="D396" s="117"/>
      <c r="E396" s="117"/>
      <c r="F396" s="117"/>
      <c r="G396" s="117"/>
      <c r="H396" s="117"/>
      <c r="I396" s="117"/>
      <c r="J396" s="117"/>
      <c r="K396" s="117"/>
      <c r="L396" s="117"/>
    </row>
    <row r="397" spans="2:12" ht="10.25" customHeight="1" x14ac:dyDescent="0.15"/>
    <row r="398" spans="2:12" ht="10.25" customHeight="1" x14ac:dyDescent="0.15"/>
    <row r="399" spans="2:12" ht="10.25" customHeight="1" x14ac:dyDescent="0.15"/>
    <row r="400" spans="2:12" ht="10.25" customHeight="1" x14ac:dyDescent="0.15"/>
    <row r="401" ht="10.25" customHeight="1" x14ac:dyDescent="0.15"/>
    <row r="402" ht="10.25" customHeight="1" x14ac:dyDescent="0.15"/>
    <row r="403" ht="10.25" customHeight="1" x14ac:dyDescent="0.15"/>
    <row r="404" ht="10.25" customHeight="1" x14ac:dyDescent="0.15"/>
    <row r="405" ht="10.25" customHeight="1" x14ac:dyDescent="0.15"/>
    <row r="406" ht="10.25" customHeight="1" x14ac:dyDescent="0.15"/>
    <row r="407" ht="10.25" customHeight="1" x14ac:dyDescent="0.15"/>
    <row r="408" ht="10.25" customHeight="1" x14ac:dyDescent="0.15"/>
    <row r="409" ht="10.25" customHeight="1" x14ac:dyDescent="0.15"/>
    <row r="410" ht="10.25" customHeight="1" x14ac:dyDescent="0.15"/>
    <row r="411" ht="10.25" customHeight="1" x14ac:dyDescent="0.15"/>
    <row r="412" ht="10.25" customHeight="1" x14ac:dyDescent="0.15"/>
    <row r="413" ht="10.25" customHeight="1" x14ac:dyDescent="0.15"/>
    <row r="414" ht="10.25" customHeight="1" x14ac:dyDescent="0.15"/>
    <row r="415" ht="10.25" customHeight="1" x14ac:dyDescent="0.15"/>
    <row r="416" ht="10.25" customHeight="1" x14ac:dyDescent="0.15"/>
    <row r="417" ht="10.25" customHeight="1" x14ac:dyDescent="0.15"/>
    <row r="418" ht="10.25" customHeight="1" x14ac:dyDescent="0.15"/>
    <row r="419" ht="10.25" customHeight="1" x14ac:dyDescent="0.15"/>
    <row r="420" ht="10.25" customHeight="1" x14ac:dyDescent="0.15"/>
    <row r="421" ht="10.25" customHeight="1" x14ac:dyDescent="0.15"/>
    <row r="422" ht="10.25" customHeight="1" x14ac:dyDescent="0.15"/>
    <row r="423" ht="10.25" customHeight="1" x14ac:dyDescent="0.15"/>
    <row r="424" ht="10.25" customHeight="1" x14ac:dyDescent="0.15"/>
    <row r="425" ht="10.25" customHeight="1" x14ac:dyDescent="0.15"/>
    <row r="426" ht="10.25" customHeight="1" x14ac:dyDescent="0.15"/>
    <row r="427" ht="10.25" customHeight="1" x14ac:dyDescent="0.15"/>
    <row r="428" ht="10.25" customHeight="1" x14ac:dyDescent="0.15"/>
    <row r="429" ht="10.25" customHeight="1" x14ac:dyDescent="0.15"/>
    <row r="430" ht="10.25" customHeight="1" x14ac:dyDescent="0.15"/>
    <row r="431" ht="10.25" customHeight="1" x14ac:dyDescent="0.15"/>
    <row r="432" ht="10.25" customHeight="1" x14ac:dyDescent="0.15"/>
    <row r="433" ht="10.25" customHeight="1" x14ac:dyDescent="0.15"/>
    <row r="434" ht="10.25" customHeight="1" x14ac:dyDescent="0.15"/>
    <row r="435" ht="10.25" customHeight="1" x14ac:dyDescent="0.15"/>
    <row r="436" ht="10.25" customHeight="1" x14ac:dyDescent="0.15"/>
    <row r="437" ht="10.25" customHeight="1" x14ac:dyDescent="0.15"/>
    <row r="438" ht="10.25" customHeight="1" x14ac:dyDescent="0.15"/>
    <row r="439" ht="10.25" customHeight="1" x14ac:dyDescent="0.15"/>
    <row r="440" ht="10.25" customHeight="1" x14ac:dyDescent="0.15"/>
    <row r="441" ht="10.25" customHeight="1" x14ac:dyDescent="0.15"/>
    <row r="442" ht="10.25" customHeight="1" x14ac:dyDescent="0.15"/>
    <row r="443" ht="10.25" customHeight="1" x14ac:dyDescent="0.15"/>
    <row r="444" ht="10.25" customHeight="1" x14ac:dyDescent="0.15"/>
    <row r="445" ht="10.25" customHeight="1" x14ac:dyDescent="0.15"/>
    <row r="446" ht="10.25" customHeight="1" x14ac:dyDescent="0.15"/>
    <row r="447" ht="10.25" customHeight="1" x14ac:dyDescent="0.15"/>
    <row r="448" ht="10.25" customHeight="1" x14ac:dyDescent="0.15"/>
    <row r="449" ht="10.25" customHeight="1" x14ac:dyDescent="0.15"/>
    <row r="450" ht="10.25" customHeight="1" x14ac:dyDescent="0.15"/>
    <row r="451" ht="10.25" customHeight="1" x14ac:dyDescent="0.15"/>
    <row r="452" ht="10.25" customHeight="1" x14ac:dyDescent="0.15"/>
    <row r="453" ht="10.25" customHeight="1" x14ac:dyDescent="0.15"/>
    <row r="454" ht="10.25" customHeight="1" x14ac:dyDescent="0.15"/>
    <row r="455" ht="10.25" customHeight="1" x14ac:dyDescent="0.15"/>
    <row r="456" ht="10.25" customHeight="1" x14ac:dyDescent="0.15"/>
    <row r="457" ht="10.25" customHeight="1" x14ac:dyDescent="0.15"/>
    <row r="458" ht="10.25" customHeight="1" x14ac:dyDescent="0.15"/>
    <row r="459" ht="10.25" customHeight="1" x14ac:dyDescent="0.15"/>
    <row r="460" ht="10.25" customHeight="1" x14ac:dyDescent="0.15"/>
    <row r="461" ht="10.25" customHeight="1" x14ac:dyDescent="0.15"/>
    <row r="462" ht="10.25" customHeight="1" x14ac:dyDescent="0.15"/>
    <row r="463" ht="10.25" customHeight="1" x14ac:dyDescent="0.15"/>
    <row r="464" ht="10.25" customHeight="1" x14ac:dyDescent="0.15"/>
    <row r="465" ht="10.25" customHeight="1" x14ac:dyDescent="0.15"/>
    <row r="466" ht="10.25" customHeight="1" x14ac:dyDescent="0.15"/>
    <row r="467" ht="10.25" customHeight="1" x14ac:dyDescent="0.15"/>
    <row r="468" ht="10.25" customHeight="1" x14ac:dyDescent="0.15"/>
    <row r="469" ht="10.25" customHeight="1" x14ac:dyDescent="0.15"/>
    <row r="470" ht="10.25" customHeight="1" x14ac:dyDescent="0.15"/>
    <row r="471" ht="10.25" customHeight="1" x14ac:dyDescent="0.15"/>
    <row r="472" ht="10.25" customHeight="1" x14ac:dyDescent="0.15"/>
    <row r="473" ht="10.25" customHeight="1" x14ac:dyDescent="0.15"/>
    <row r="474" ht="10.25" customHeight="1" x14ac:dyDescent="0.15"/>
    <row r="475" ht="10.25" customHeight="1" x14ac:dyDescent="0.15"/>
    <row r="476" ht="10.25" customHeight="1" x14ac:dyDescent="0.15"/>
    <row r="477" ht="10.25" customHeight="1" x14ac:dyDescent="0.15"/>
    <row r="478" ht="10.25" customHeight="1" x14ac:dyDescent="0.15"/>
    <row r="479" ht="10.25" customHeight="1" x14ac:dyDescent="0.15"/>
    <row r="480" ht="10.25" customHeight="1" x14ac:dyDescent="0.15"/>
    <row r="481" ht="10.25" customHeight="1" x14ac:dyDescent="0.15"/>
    <row r="482" ht="10.25" customHeight="1" x14ac:dyDescent="0.15"/>
    <row r="483" ht="10.25" customHeight="1" x14ac:dyDescent="0.15"/>
    <row r="484" ht="10.25" customHeight="1" x14ac:dyDescent="0.15"/>
    <row r="485" ht="10.25" customHeight="1" x14ac:dyDescent="0.15"/>
    <row r="486" ht="10.25" customHeight="1" x14ac:dyDescent="0.15"/>
    <row r="487" ht="10.25" customHeight="1" x14ac:dyDescent="0.15"/>
    <row r="488" ht="10.25" customHeight="1" x14ac:dyDescent="0.15"/>
    <row r="489" ht="10.25" customHeight="1" x14ac:dyDescent="0.15"/>
    <row r="490" ht="10.25" customHeight="1" x14ac:dyDescent="0.15"/>
    <row r="491" ht="10.25" customHeight="1" x14ac:dyDescent="0.15"/>
    <row r="492" ht="10.25" customHeight="1" x14ac:dyDescent="0.15"/>
    <row r="493" ht="10.25" customHeight="1" x14ac:dyDescent="0.15"/>
    <row r="494" ht="10.25" customHeight="1" x14ac:dyDescent="0.15"/>
    <row r="495" ht="10.25" customHeight="1" x14ac:dyDescent="0.15"/>
    <row r="496" ht="10.25" customHeight="1" x14ac:dyDescent="0.15"/>
    <row r="497" ht="10.25" customHeight="1" x14ac:dyDescent="0.15"/>
    <row r="498" ht="10.25" customHeight="1" x14ac:dyDescent="0.15"/>
    <row r="499" ht="10.25" customHeight="1" x14ac:dyDescent="0.15"/>
    <row r="500" ht="10.25" customHeight="1" x14ac:dyDescent="0.15"/>
    <row r="501" ht="10.25" customHeight="1" x14ac:dyDescent="0.15"/>
    <row r="502" ht="10.25" customHeight="1" x14ac:dyDescent="0.15"/>
    <row r="503" ht="10.25" customHeight="1" x14ac:dyDescent="0.15"/>
    <row r="504" ht="10.25" customHeight="1" x14ac:dyDescent="0.15"/>
    <row r="505" ht="10.25" customHeight="1" x14ac:dyDescent="0.15"/>
    <row r="506" ht="10.25" customHeight="1" x14ac:dyDescent="0.15"/>
    <row r="507" ht="10.25" customHeight="1" x14ac:dyDescent="0.15"/>
    <row r="508" ht="10.25" customHeight="1" x14ac:dyDescent="0.15"/>
    <row r="509" ht="10.25" customHeight="1" x14ac:dyDescent="0.15"/>
    <row r="510" ht="10.25" customHeight="1" x14ac:dyDescent="0.15"/>
    <row r="511" ht="10.25" customHeight="1" x14ac:dyDescent="0.15"/>
    <row r="512" ht="10.25" customHeight="1" x14ac:dyDescent="0.15"/>
    <row r="513" ht="10.25" customHeight="1" x14ac:dyDescent="0.15"/>
    <row r="514" ht="10.25" customHeight="1" x14ac:dyDescent="0.15"/>
    <row r="515" ht="10.25" customHeight="1" x14ac:dyDescent="0.15"/>
    <row r="516" ht="10.25" customHeight="1" x14ac:dyDescent="0.15"/>
    <row r="517" ht="10.25" customHeight="1" x14ac:dyDescent="0.15"/>
    <row r="518" ht="10.25" customHeight="1" x14ac:dyDescent="0.15"/>
    <row r="519" ht="10.25" customHeight="1" x14ac:dyDescent="0.15"/>
    <row r="520" ht="10.25" customHeight="1" x14ac:dyDescent="0.15"/>
    <row r="521" ht="10.25" customHeight="1" x14ac:dyDescent="0.15"/>
    <row r="522" ht="10.25" customHeight="1" x14ac:dyDescent="0.15"/>
    <row r="523" ht="10.25" customHeight="1" x14ac:dyDescent="0.15"/>
    <row r="524" ht="10.25" customHeight="1" x14ac:dyDescent="0.15"/>
    <row r="525" ht="10.25" customHeight="1" x14ac:dyDescent="0.15"/>
    <row r="526" ht="10.25" customHeight="1" x14ac:dyDescent="0.15"/>
    <row r="527" ht="10.25" customHeight="1" x14ac:dyDescent="0.15"/>
    <row r="528" ht="10.25" customHeight="1" x14ac:dyDescent="0.15"/>
    <row r="529" ht="10.25" customHeight="1" x14ac:dyDescent="0.15"/>
    <row r="530" ht="10.25" customHeight="1" x14ac:dyDescent="0.15"/>
    <row r="531" ht="10.25" customHeight="1" x14ac:dyDescent="0.15"/>
    <row r="532" ht="10.25" customHeight="1" x14ac:dyDescent="0.15"/>
    <row r="533" ht="10.25" customHeight="1" x14ac:dyDescent="0.15"/>
    <row r="534" ht="10.25" customHeight="1" x14ac:dyDescent="0.15"/>
    <row r="535" ht="10.25" customHeight="1" x14ac:dyDescent="0.15"/>
    <row r="536" ht="10.25" customHeight="1" x14ac:dyDescent="0.15"/>
    <row r="537" ht="10.25" customHeight="1" x14ac:dyDescent="0.15"/>
    <row r="538" ht="10.25" customHeight="1" x14ac:dyDescent="0.15"/>
    <row r="539" ht="10.25" customHeight="1" x14ac:dyDescent="0.15"/>
    <row r="540" ht="10.25" customHeight="1" x14ac:dyDescent="0.15"/>
    <row r="541" ht="10.25" customHeight="1" x14ac:dyDescent="0.15"/>
    <row r="542" ht="10.25" customHeight="1" x14ac:dyDescent="0.15"/>
    <row r="543" ht="10.25" customHeight="1" x14ac:dyDescent="0.15"/>
    <row r="544" ht="10.25" customHeight="1" x14ac:dyDescent="0.15"/>
    <row r="545" ht="10.25" customHeight="1" x14ac:dyDescent="0.15"/>
    <row r="546" ht="10.25" customHeight="1" x14ac:dyDescent="0.15"/>
    <row r="547" ht="10.25" customHeight="1" x14ac:dyDescent="0.15"/>
    <row r="548" ht="10.25" customHeight="1" x14ac:dyDescent="0.15"/>
    <row r="549" ht="10.25" customHeight="1" x14ac:dyDescent="0.15"/>
    <row r="550" ht="10.25" customHeight="1" x14ac:dyDescent="0.15"/>
    <row r="551" ht="10.25" customHeight="1" x14ac:dyDescent="0.15"/>
    <row r="552" ht="10.25" customHeight="1" x14ac:dyDescent="0.15"/>
    <row r="553" ht="10.25" customHeight="1" x14ac:dyDescent="0.15"/>
    <row r="554" ht="10.25" customHeight="1" x14ac:dyDescent="0.15"/>
    <row r="555" ht="10.25" customHeight="1" x14ac:dyDescent="0.15"/>
    <row r="556" ht="10.25" customHeight="1" x14ac:dyDescent="0.15"/>
    <row r="557" ht="10.25" customHeight="1" x14ac:dyDescent="0.15"/>
    <row r="558" ht="10.25" customHeight="1" x14ac:dyDescent="0.15"/>
    <row r="559" ht="10.25" customHeight="1" x14ac:dyDescent="0.15"/>
    <row r="560" ht="10.25" customHeight="1" x14ac:dyDescent="0.15"/>
    <row r="561" ht="10.25" customHeight="1" x14ac:dyDescent="0.15"/>
    <row r="562" ht="10.25" customHeight="1" x14ac:dyDescent="0.15"/>
    <row r="563" ht="10.25" customHeight="1" x14ac:dyDescent="0.15"/>
    <row r="564" ht="10.25" customHeight="1" x14ac:dyDescent="0.15"/>
    <row r="565" ht="10.25" customHeight="1" x14ac:dyDescent="0.15"/>
    <row r="566" ht="10.25" customHeight="1" x14ac:dyDescent="0.15"/>
    <row r="567" ht="10.25" customHeight="1" x14ac:dyDescent="0.15"/>
    <row r="568" ht="10.25" customHeight="1" x14ac:dyDescent="0.15"/>
    <row r="569" ht="10.25" customHeight="1" x14ac:dyDescent="0.15"/>
    <row r="570" ht="10.25" customHeight="1" x14ac:dyDescent="0.15"/>
    <row r="571" ht="10.25" customHeight="1" x14ac:dyDescent="0.15"/>
    <row r="572" ht="10.25" customHeight="1" x14ac:dyDescent="0.15"/>
    <row r="573" ht="10.25" customHeight="1" x14ac:dyDescent="0.15"/>
    <row r="574" ht="10.25" customHeight="1" x14ac:dyDescent="0.15"/>
    <row r="575" ht="10.25" customHeight="1" x14ac:dyDescent="0.15"/>
    <row r="576" ht="10.25" customHeight="1" x14ac:dyDescent="0.15"/>
    <row r="577" ht="10.25" customHeight="1" x14ac:dyDescent="0.15"/>
    <row r="578" ht="10.25" customHeight="1" x14ac:dyDescent="0.15"/>
    <row r="579" ht="10.25" customHeight="1" x14ac:dyDescent="0.15"/>
    <row r="580" ht="10.25" customHeight="1" x14ac:dyDescent="0.15"/>
    <row r="581" ht="10.25" customHeight="1" x14ac:dyDescent="0.15"/>
    <row r="582" ht="10.25" customHeight="1" x14ac:dyDescent="0.15"/>
    <row r="583" ht="10.25" customHeight="1" x14ac:dyDescent="0.15"/>
    <row r="584" ht="10.25" customHeight="1" x14ac:dyDescent="0.15"/>
    <row r="585" ht="10.25" customHeight="1" x14ac:dyDescent="0.15"/>
    <row r="586" ht="10.25" customHeight="1" x14ac:dyDescent="0.15"/>
    <row r="587" ht="10.25" customHeight="1" x14ac:dyDescent="0.15"/>
    <row r="588" ht="10.25" customHeight="1" x14ac:dyDescent="0.15"/>
    <row r="589" ht="10.25" customHeight="1" x14ac:dyDescent="0.15"/>
    <row r="590" ht="10.25" customHeight="1" x14ac:dyDescent="0.15"/>
    <row r="591" ht="10.25" customHeight="1" x14ac:dyDescent="0.15"/>
    <row r="592" ht="10.25" customHeight="1" x14ac:dyDescent="0.15"/>
    <row r="593" ht="10.25" customHeight="1" x14ac:dyDescent="0.15"/>
    <row r="594" ht="10.25" customHeight="1" x14ac:dyDescent="0.15"/>
    <row r="595" ht="10.25" customHeight="1" x14ac:dyDescent="0.15"/>
    <row r="596" ht="10.25" customHeight="1" x14ac:dyDescent="0.15"/>
    <row r="597" ht="10.25" customHeight="1" x14ac:dyDescent="0.15"/>
    <row r="598" ht="10.25" customHeight="1" x14ac:dyDescent="0.15"/>
    <row r="599" ht="10.25" customHeight="1" x14ac:dyDescent="0.15"/>
    <row r="600" ht="10.25" customHeight="1" x14ac:dyDescent="0.15"/>
    <row r="601" ht="10.25" customHeight="1" x14ac:dyDescent="0.15"/>
    <row r="602" ht="10.25" customHeight="1" x14ac:dyDescent="0.15"/>
    <row r="603" ht="10.25" customHeight="1" x14ac:dyDescent="0.15"/>
    <row r="604" ht="10.25" customHeight="1" x14ac:dyDescent="0.15"/>
    <row r="605" ht="10.25" customHeight="1" x14ac:dyDescent="0.15"/>
    <row r="606" ht="10.25" customHeight="1" x14ac:dyDescent="0.15"/>
    <row r="607" ht="10.25" customHeight="1" x14ac:dyDescent="0.15"/>
    <row r="608" ht="10.25" customHeight="1" x14ac:dyDescent="0.15"/>
    <row r="609" ht="10.25" customHeight="1" x14ac:dyDescent="0.15"/>
    <row r="610" ht="10.25" customHeight="1" x14ac:dyDescent="0.15"/>
    <row r="611" ht="10.25" customHeight="1" x14ac:dyDescent="0.15"/>
    <row r="612" ht="10.25" customHeight="1" x14ac:dyDescent="0.15"/>
    <row r="613" ht="10.25" customHeight="1" x14ac:dyDescent="0.15"/>
    <row r="614" ht="10.25" customHeight="1" x14ac:dyDescent="0.15"/>
    <row r="615" ht="10.25" customHeight="1" x14ac:dyDescent="0.15"/>
    <row r="616" ht="10.25" customHeight="1" x14ac:dyDescent="0.15"/>
    <row r="617" ht="10.25" customHeight="1" x14ac:dyDescent="0.15"/>
    <row r="618" ht="10.25" customHeight="1" x14ac:dyDescent="0.15"/>
    <row r="619" ht="10.25" customHeight="1" x14ac:dyDescent="0.15"/>
    <row r="620" ht="10.25" customHeight="1" x14ac:dyDescent="0.15"/>
    <row r="621" ht="10.25" customHeight="1" x14ac:dyDescent="0.15"/>
    <row r="622" ht="10.25" customHeight="1" x14ac:dyDescent="0.15"/>
    <row r="623" ht="10.25" customHeight="1" x14ac:dyDescent="0.15"/>
    <row r="624" ht="10.25" customHeight="1" x14ac:dyDescent="0.15"/>
    <row r="625" ht="10.25" customHeight="1" x14ac:dyDescent="0.15"/>
    <row r="626" ht="10.25" customHeight="1" x14ac:dyDescent="0.15"/>
    <row r="627" ht="10.25" customHeight="1" x14ac:dyDescent="0.15"/>
    <row r="628" ht="10.25" customHeight="1" x14ac:dyDescent="0.15"/>
    <row r="629" ht="10.25" customHeight="1" x14ac:dyDescent="0.15"/>
    <row r="630" ht="10.25" customHeight="1" x14ac:dyDescent="0.15"/>
    <row r="631" ht="10.25" customHeight="1" x14ac:dyDescent="0.15"/>
    <row r="632" ht="10.25" customHeight="1" x14ac:dyDescent="0.15"/>
    <row r="633" ht="10.25" customHeight="1" x14ac:dyDescent="0.15"/>
    <row r="634" ht="10.25" customHeight="1" x14ac:dyDescent="0.15"/>
    <row r="635" ht="10.25" customHeight="1" x14ac:dyDescent="0.15"/>
    <row r="636" ht="10.25" customHeight="1" x14ac:dyDescent="0.15"/>
    <row r="637" ht="10.25" customHeight="1" x14ac:dyDescent="0.15"/>
    <row r="638" ht="10.25" customHeight="1" x14ac:dyDescent="0.15"/>
    <row r="639" ht="10.25" customHeight="1" x14ac:dyDescent="0.15"/>
    <row r="640" ht="10.25" customHeight="1" x14ac:dyDescent="0.15"/>
    <row r="641" ht="10.25" customHeight="1" x14ac:dyDescent="0.15"/>
    <row r="642" ht="10.25" customHeight="1" x14ac:dyDescent="0.15"/>
    <row r="643" ht="10.25" customHeight="1" x14ac:dyDescent="0.15"/>
    <row r="644" ht="10.25" customHeight="1" x14ac:dyDescent="0.15"/>
    <row r="645" ht="10.25" customHeight="1" x14ac:dyDescent="0.15"/>
    <row r="646" ht="10.25" customHeight="1" x14ac:dyDescent="0.15"/>
    <row r="647" ht="10.25" customHeight="1" x14ac:dyDescent="0.15"/>
    <row r="648" ht="10.25" customHeight="1" x14ac:dyDescent="0.15"/>
    <row r="649" ht="10.25" customHeight="1" x14ac:dyDescent="0.15"/>
    <row r="650" ht="10.25" customHeight="1" x14ac:dyDescent="0.15"/>
    <row r="651" ht="10.25" customHeight="1" x14ac:dyDescent="0.15"/>
    <row r="652" ht="10.25" customHeight="1" x14ac:dyDescent="0.15"/>
    <row r="653" ht="10.25" customHeight="1" x14ac:dyDescent="0.15"/>
    <row r="654" ht="10.25" customHeight="1" x14ac:dyDescent="0.15"/>
    <row r="655" ht="10.25" customHeight="1" x14ac:dyDescent="0.15"/>
    <row r="656" ht="10.25" customHeight="1" x14ac:dyDescent="0.15"/>
    <row r="657" ht="10.25" customHeight="1" x14ac:dyDescent="0.15"/>
    <row r="658" ht="10.25" customHeight="1" x14ac:dyDescent="0.15"/>
    <row r="659" ht="10.25" customHeight="1" x14ac:dyDescent="0.15"/>
    <row r="660" ht="10.25" customHeight="1" x14ac:dyDescent="0.15"/>
    <row r="661" ht="10.25" customHeight="1" x14ac:dyDescent="0.15"/>
    <row r="662" ht="10.25" customHeight="1" x14ac:dyDescent="0.15"/>
    <row r="663" ht="10.25" customHeight="1" x14ac:dyDescent="0.15"/>
    <row r="664" ht="10.25" customHeight="1" x14ac:dyDescent="0.15"/>
    <row r="665" ht="10.25" customHeight="1" x14ac:dyDescent="0.15"/>
    <row r="666" ht="10.25" customHeight="1" x14ac:dyDescent="0.15"/>
    <row r="667" ht="10.25" customHeight="1" x14ac:dyDescent="0.15"/>
    <row r="668" ht="10.25" customHeight="1" x14ac:dyDescent="0.15"/>
    <row r="669" ht="10.25" customHeight="1" x14ac:dyDescent="0.15"/>
    <row r="670" ht="10.25" customHeight="1" x14ac:dyDescent="0.15"/>
    <row r="671" ht="10.25" customHeight="1" x14ac:dyDescent="0.15"/>
    <row r="672" ht="10.25" customHeight="1" x14ac:dyDescent="0.15"/>
    <row r="673" ht="10.25" customHeight="1" x14ac:dyDescent="0.15"/>
    <row r="674" ht="10.25" customHeight="1" x14ac:dyDescent="0.15"/>
    <row r="675" ht="10.25" customHeight="1" x14ac:dyDescent="0.15"/>
    <row r="676" ht="10.25" customHeight="1" x14ac:dyDescent="0.15"/>
    <row r="677" ht="10.25" customHeight="1" x14ac:dyDescent="0.15"/>
    <row r="678" ht="10.25" customHeight="1" x14ac:dyDescent="0.15"/>
    <row r="679" ht="10.25" customHeight="1" x14ac:dyDescent="0.15"/>
    <row r="680" ht="10.25" customHeight="1" x14ac:dyDescent="0.15"/>
    <row r="681" ht="10.25" customHeight="1" x14ac:dyDescent="0.15"/>
    <row r="682" ht="10.25" customHeight="1" x14ac:dyDescent="0.15"/>
    <row r="683" ht="10.25" customHeight="1" x14ac:dyDescent="0.15"/>
    <row r="684" ht="10.25" customHeight="1" x14ac:dyDescent="0.15"/>
    <row r="685" ht="10.25" customHeight="1" x14ac:dyDescent="0.15"/>
    <row r="686" ht="10.25" customHeight="1" x14ac:dyDescent="0.15"/>
    <row r="687" ht="10.25" customHeight="1" x14ac:dyDescent="0.15"/>
    <row r="688" ht="10.25" customHeight="1" x14ac:dyDescent="0.15"/>
    <row r="689" ht="10.25" customHeight="1" x14ac:dyDescent="0.15"/>
    <row r="690" ht="10.25" customHeight="1" x14ac:dyDescent="0.15"/>
    <row r="691" ht="10.25" customHeight="1" x14ac:dyDescent="0.15"/>
    <row r="692" ht="10.25" customHeight="1" x14ac:dyDescent="0.15"/>
    <row r="693" ht="10.25" customHeight="1" x14ac:dyDescent="0.15"/>
    <row r="694" ht="10.25" customHeight="1" x14ac:dyDescent="0.15"/>
    <row r="695" ht="10.25" customHeight="1" x14ac:dyDescent="0.15"/>
    <row r="696" ht="10.25" customHeight="1" x14ac:dyDescent="0.15"/>
    <row r="697" ht="10.25" customHeight="1" x14ac:dyDescent="0.15"/>
    <row r="698" ht="10.25" customHeight="1" x14ac:dyDescent="0.15"/>
    <row r="699" ht="10.25" customHeight="1" x14ac:dyDescent="0.15"/>
    <row r="700" ht="10.25" customHeight="1" x14ac:dyDescent="0.15"/>
    <row r="701" ht="10.25" customHeight="1" x14ac:dyDescent="0.15"/>
    <row r="702" ht="10.25" customHeight="1" x14ac:dyDescent="0.15"/>
    <row r="703" ht="10.25" customHeight="1" x14ac:dyDescent="0.15"/>
    <row r="704" ht="10.25" customHeight="1" x14ac:dyDescent="0.15"/>
    <row r="705" ht="10.25" customHeight="1" x14ac:dyDescent="0.15"/>
    <row r="706" ht="10.25" customHeight="1" x14ac:dyDescent="0.15"/>
    <row r="707" ht="10.25" customHeight="1" x14ac:dyDescent="0.15"/>
    <row r="708" ht="10.25" customHeight="1" x14ac:dyDescent="0.15"/>
    <row r="709" ht="10.25" customHeight="1" x14ac:dyDescent="0.15"/>
    <row r="710" ht="10.25" customHeight="1" x14ac:dyDescent="0.15"/>
    <row r="711" ht="10.25" customHeight="1" x14ac:dyDescent="0.15"/>
    <row r="712" ht="10.25" customHeight="1" x14ac:dyDescent="0.15"/>
    <row r="713" ht="10.25" customHeight="1" x14ac:dyDescent="0.15"/>
    <row r="714" ht="10.25" customHeight="1" x14ac:dyDescent="0.15"/>
    <row r="715" ht="10.25" customHeight="1" x14ac:dyDescent="0.15"/>
    <row r="716" ht="10.25" customHeight="1" x14ac:dyDescent="0.15"/>
  </sheetData>
  <mergeCells count="6">
    <mergeCell ref="A305:G305"/>
    <mergeCell ref="A4:G4"/>
    <mergeCell ref="A5:A6"/>
    <mergeCell ref="B5:D5"/>
    <mergeCell ref="E5:F5"/>
    <mergeCell ref="A304:G304"/>
  </mergeCells>
  <pageMargins left="0.75" right="0.75" top="0.5" bottom="0.6" header="0.5" footer="0.25"/>
  <pageSetup firstPageNumber="407" orientation="portrait" useFirstPageNumber="1" r:id="rId1"/>
  <headerFooter alignWithMargins="0">
    <oddFooter>&amp;C&amp;"Arial,Bold"&amp;8Energy Information Administration
2003 Commercial Buildings Energy Consumption Survey: Consumption and Expenditures Tables
Released June 2006&amp;R&amp;8&amp;P</oddFooter>
  </headerFooter>
  <rowBreaks count="5" manualBreakCount="5">
    <brk id="63" max="16383" man="1"/>
    <brk id="112" max="16383" man="1"/>
    <brk id="162" max="16383" man="1"/>
    <brk id="213" max="16383" man="1"/>
    <brk id="26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8"/>
  <sheetViews>
    <sheetView workbookViewId="0">
      <pane ySplit="9" topLeftCell="A10" activePane="bottomLeft" state="frozen"/>
      <selection activeCell="J35" sqref="J35"/>
      <selection pane="bottomLeft" activeCell="J35" sqref="J35"/>
    </sheetView>
  </sheetViews>
  <sheetFormatPr baseColWidth="10" defaultColWidth="8.83203125" defaultRowHeight="11" x14ac:dyDescent="0.15"/>
  <cols>
    <col min="1" max="1" width="33.1640625" style="114" bestFit="1" customWidth="1"/>
    <col min="2" max="2" width="10.5" style="166" customWidth="1"/>
    <col min="3" max="10" width="9.6640625" style="165" customWidth="1"/>
    <col min="11" max="11" width="8.83203125" style="114"/>
    <col min="12" max="12" width="13" style="114" customWidth="1"/>
    <col min="13" max="13" width="9.83203125" style="114" bestFit="1" customWidth="1"/>
    <col min="14" max="14" width="16.1640625" style="114" customWidth="1"/>
    <col min="15" max="15" width="10.33203125" style="114" bestFit="1" customWidth="1"/>
    <col min="16" max="256" width="8.83203125" style="114"/>
    <col min="257" max="257" width="33.1640625" style="114" bestFit="1" customWidth="1"/>
    <col min="258" max="258" width="10.5" style="114" customWidth="1"/>
    <col min="259" max="266" width="9.6640625" style="114" customWidth="1"/>
    <col min="267" max="512" width="8.83203125" style="114"/>
    <col min="513" max="513" width="33.1640625" style="114" bestFit="1" customWidth="1"/>
    <col min="514" max="514" width="10.5" style="114" customWidth="1"/>
    <col min="515" max="522" width="9.6640625" style="114" customWidth="1"/>
    <col min="523" max="768" width="8.83203125" style="114"/>
    <col min="769" max="769" width="33.1640625" style="114" bestFit="1" customWidth="1"/>
    <col min="770" max="770" width="10.5" style="114" customWidth="1"/>
    <col min="771" max="778" width="9.6640625" style="114" customWidth="1"/>
    <col min="779" max="1024" width="8.83203125" style="114"/>
    <col min="1025" max="1025" width="33.1640625" style="114" bestFit="1" customWidth="1"/>
    <col min="1026" max="1026" width="10.5" style="114" customWidth="1"/>
    <col min="1027" max="1034" width="9.6640625" style="114" customWidth="1"/>
    <col min="1035" max="1280" width="8.83203125" style="114"/>
    <col min="1281" max="1281" width="33.1640625" style="114" bestFit="1" customWidth="1"/>
    <col min="1282" max="1282" width="10.5" style="114" customWidth="1"/>
    <col min="1283" max="1290" width="9.6640625" style="114" customWidth="1"/>
    <col min="1291" max="1536" width="8.83203125" style="114"/>
    <col min="1537" max="1537" width="33.1640625" style="114" bestFit="1" customWidth="1"/>
    <col min="1538" max="1538" width="10.5" style="114" customWidth="1"/>
    <col min="1539" max="1546" width="9.6640625" style="114" customWidth="1"/>
    <col min="1547" max="1792" width="8.83203125" style="114"/>
    <col min="1793" max="1793" width="33.1640625" style="114" bestFit="1" customWidth="1"/>
    <col min="1794" max="1794" width="10.5" style="114" customWidth="1"/>
    <col min="1795" max="1802" width="9.6640625" style="114" customWidth="1"/>
    <col min="1803" max="2048" width="8.83203125" style="114"/>
    <col min="2049" max="2049" width="33.1640625" style="114" bestFit="1" customWidth="1"/>
    <col min="2050" max="2050" width="10.5" style="114" customWidth="1"/>
    <col min="2051" max="2058" width="9.6640625" style="114" customWidth="1"/>
    <col min="2059" max="2304" width="8.83203125" style="114"/>
    <col min="2305" max="2305" width="33.1640625" style="114" bestFit="1" customWidth="1"/>
    <col min="2306" max="2306" width="10.5" style="114" customWidth="1"/>
    <col min="2307" max="2314" width="9.6640625" style="114" customWidth="1"/>
    <col min="2315" max="2560" width="8.83203125" style="114"/>
    <col min="2561" max="2561" width="33.1640625" style="114" bestFit="1" customWidth="1"/>
    <col min="2562" max="2562" width="10.5" style="114" customWidth="1"/>
    <col min="2563" max="2570" width="9.6640625" style="114" customWidth="1"/>
    <col min="2571" max="2816" width="8.83203125" style="114"/>
    <col min="2817" max="2817" width="33.1640625" style="114" bestFit="1" customWidth="1"/>
    <col min="2818" max="2818" width="10.5" style="114" customWidth="1"/>
    <col min="2819" max="2826" width="9.6640625" style="114" customWidth="1"/>
    <col min="2827" max="3072" width="8.83203125" style="114"/>
    <col min="3073" max="3073" width="33.1640625" style="114" bestFit="1" customWidth="1"/>
    <col min="3074" max="3074" width="10.5" style="114" customWidth="1"/>
    <col min="3075" max="3082" width="9.6640625" style="114" customWidth="1"/>
    <col min="3083" max="3328" width="8.83203125" style="114"/>
    <col min="3329" max="3329" width="33.1640625" style="114" bestFit="1" customWidth="1"/>
    <col min="3330" max="3330" width="10.5" style="114" customWidth="1"/>
    <col min="3331" max="3338" width="9.6640625" style="114" customWidth="1"/>
    <col min="3339" max="3584" width="8.83203125" style="114"/>
    <col min="3585" max="3585" width="33.1640625" style="114" bestFit="1" customWidth="1"/>
    <col min="3586" max="3586" width="10.5" style="114" customWidth="1"/>
    <col min="3587" max="3594" width="9.6640625" style="114" customWidth="1"/>
    <col min="3595" max="3840" width="8.83203125" style="114"/>
    <col min="3841" max="3841" width="33.1640625" style="114" bestFit="1" customWidth="1"/>
    <col min="3842" max="3842" width="10.5" style="114" customWidth="1"/>
    <col min="3843" max="3850" width="9.6640625" style="114" customWidth="1"/>
    <col min="3851" max="4096" width="8.83203125" style="114"/>
    <col min="4097" max="4097" width="33.1640625" style="114" bestFit="1" customWidth="1"/>
    <col min="4098" max="4098" width="10.5" style="114" customWidth="1"/>
    <col min="4099" max="4106" width="9.6640625" style="114" customWidth="1"/>
    <col min="4107" max="4352" width="8.83203125" style="114"/>
    <col min="4353" max="4353" width="33.1640625" style="114" bestFit="1" customWidth="1"/>
    <col min="4354" max="4354" width="10.5" style="114" customWidth="1"/>
    <col min="4355" max="4362" width="9.6640625" style="114" customWidth="1"/>
    <col min="4363" max="4608" width="8.83203125" style="114"/>
    <col min="4609" max="4609" width="33.1640625" style="114" bestFit="1" customWidth="1"/>
    <col min="4610" max="4610" width="10.5" style="114" customWidth="1"/>
    <col min="4611" max="4618" width="9.6640625" style="114" customWidth="1"/>
    <col min="4619" max="4864" width="8.83203125" style="114"/>
    <col min="4865" max="4865" width="33.1640625" style="114" bestFit="1" customWidth="1"/>
    <col min="4866" max="4866" width="10.5" style="114" customWidth="1"/>
    <col min="4867" max="4874" width="9.6640625" style="114" customWidth="1"/>
    <col min="4875" max="5120" width="8.83203125" style="114"/>
    <col min="5121" max="5121" width="33.1640625" style="114" bestFit="1" customWidth="1"/>
    <col min="5122" max="5122" width="10.5" style="114" customWidth="1"/>
    <col min="5123" max="5130" width="9.6640625" style="114" customWidth="1"/>
    <col min="5131" max="5376" width="8.83203125" style="114"/>
    <col min="5377" max="5377" width="33.1640625" style="114" bestFit="1" customWidth="1"/>
    <col min="5378" max="5378" width="10.5" style="114" customWidth="1"/>
    <col min="5379" max="5386" width="9.6640625" style="114" customWidth="1"/>
    <col min="5387" max="5632" width="8.83203125" style="114"/>
    <col min="5633" max="5633" width="33.1640625" style="114" bestFit="1" customWidth="1"/>
    <col min="5634" max="5634" width="10.5" style="114" customWidth="1"/>
    <col min="5635" max="5642" width="9.6640625" style="114" customWidth="1"/>
    <col min="5643" max="5888" width="8.83203125" style="114"/>
    <col min="5889" max="5889" width="33.1640625" style="114" bestFit="1" customWidth="1"/>
    <col min="5890" max="5890" width="10.5" style="114" customWidth="1"/>
    <col min="5891" max="5898" width="9.6640625" style="114" customWidth="1"/>
    <col min="5899" max="6144" width="8.83203125" style="114"/>
    <col min="6145" max="6145" width="33.1640625" style="114" bestFit="1" customWidth="1"/>
    <col min="6146" max="6146" width="10.5" style="114" customWidth="1"/>
    <col min="6147" max="6154" width="9.6640625" style="114" customWidth="1"/>
    <col min="6155" max="6400" width="8.83203125" style="114"/>
    <col min="6401" max="6401" width="33.1640625" style="114" bestFit="1" customWidth="1"/>
    <col min="6402" max="6402" width="10.5" style="114" customWidth="1"/>
    <col min="6403" max="6410" width="9.6640625" style="114" customWidth="1"/>
    <col min="6411" max="6656" width="8.83203125" style="114"/>
    <col min="6657" max="6657" width="33.1640625" style="114" bestFit="1" customWidth="1"/>
    <col min="6658" max="6658" width="10.5" style="114" customWidth="1"/>
    <col min="6659" max="6666" width="9.6640625" style="114" customWidth="1"/>
    <col min="6667" max="6912" width="8.83203125" style="114"/>
    <col min="6913" max="6913" width="33.1640625" style="114" bestFit="1" customWidth="1"/>
    <col min="6914" max="6914" width="10.5" style="114" customWidth="1"/>
    <col min="6915" max="6922" width="9.6640625" style="114" customWidth="1"/>
    <col min="6923" max="7168" width="8.83203125" style="114"/>
    <col min="7169" max="7169" width="33.1640625" style="114" bestFit="1" customWidth="1"/>
    <col min="7170" max="7170" width="10.5" style="114" customWidth="1"/>
    <col min="7171" max="7178" width="9.6640625" style="114" customWidth="1"/>
    <col min="7179" max="7424" width="8.83203125" style="114"/>
    <col min="7425" max="7425" width="33.1640625" style="114" bestFit="1" customWidth="1"/>
    <col min="7426" max="7426" width="10.5" style="114" customWidth="1"/>
    <col min="7427" max="7434" width="9.6640625" style="114" customWidth="1"/>
    <col min="7435" max="7680" width="8.83203125" style="114"/>
    <col min="7681" max="7681" width="33.1640625" style="114" bestFit="1" customWidth="1"/>
    <col min="7682" max="7682" width="10.5" style="114" customWidth="1"/>
    <col min="7683" max="7690" width="9.6640625" style="114" customWidth="1"/>
    <col min="7691" max="7936" width="8.83203125" style="114"/>
    <col min="7937" max="7937" width="33.1640625" style="114" bestFit="1" customWidth="1"/>
    <col min="7938" max="7938" width="10.5" style="114" customWidth="1"/>
    <col min="7939" max="7946" width="9.6640625" style="114" customWidth="1"/>
    <col min="7947" max="8192" width="8.83203125" style="114"/>
    <col min="8193" max="8193" width="33.1640625" style="114" bestFit="1" customWidth="1"/>
    <col min="8194" max="8194" width="10.5" style="114" customWidth="1"/>
    <col min="8195" max="8202" width="9.6640625" style="114" customWidth="1"/>
    <col min="8203" max="8448" width="8.83203125" style="114"/>
    <col min="8449" max="8449" width="33.1640625" style="114" bestFit="1" customWidth="1"/>
    <col min="8450" max="8450" width="10.5" style="114" customWidth="1"/>
    <col min="8451" max="8458" width="9.6640625" style="114" customWidth="1"/>
    <col min="8459" max="8704" width="8.83203125" style="114"/>
    <col min="8705" max="8705" width="33.1640625" style="114" bestFit="1" customWidth="1"/>
    <col min="8706" max="8706" width="10.5" style="114" customWidth="1"/>
    <col min="8707" max="8714" width="9.6640625" style="114" customWidth="1"/>
    <col min="8715" max="8960" width="8.83203125" style="114"/>
    <col min="8961" max="8961" width="33.1640625" style="114" bestFit="1" customWidth="1"/>
    <col min="8962" max="8962" width="10.5" style="114" customWidth="1"/>
    <col min="8963" max="8970" width="9.6640625" style="114" customWidth="1"/>
    <col min="8971" max="9216" width="8.83203125" style="114"/>
    <col min="9217" max="9217" width="33.1640625" style="114" bestFit="1" customWidth="1"/>
    <col min="9218" max="9218" width="10.5" style="114" customWidth="1"/>
    <col min="9219" max="9226" width="9.6640625" style="114" customWidth="1"/>
    <col min="9227" max="9472" width="8.83203125" style="114"/>
    <col min="9473" max="9473" width="33.1640625" style="114" bestFit="1" customWidth="1"/>
    <col min="9474" max="9474" width="10.5" style="114" customWidth="1"/>
    <col min="9475" max="9482" width="9.6640625" style="114" customWidth="1"/>
    <col min="9483" max="9728" width="8.83203125" style="114"/>
    <col min="9729" max="9729" width="33.1640625" style="114" bestFit="1" customWidth="1"/>
    <col min="9730" max="9730" width="10.5" style="114" customWidth="1"/>
    <col min="9731" max="9738" width="9.6640625" style="114" customWidth="1"/>
    <col min="9739" max="9984" width="8.83203125" style="114"/>
    <col min="9985" max="9985" width="33.1640625" style="114" bestFit="1" customWidth="1"/>
    <col min="9986" max="9986" width="10.5" style="114" customWidth="1"/>
    <col min="9987" max="9994" width="9.6640625" style="114" customWidth="1"/>
    <col min="9995" max="10240" width="8.83203125" style="114"/>
    <col min="10241" max="10241" width="33.1640625" style="114" bestFit="1" customWidth="1"/>
    <col min="10242" max="10242" width="10.5" style="114" customWidth="1"/>
    <col min="10243" max="10250" width="9.6640625" style="114" customWidth="1"/>
    <col min="10251" max="10496" width="8.83203125" style="114"/>
    <col min="10497" max="10497" width="33.1640625" style="114" bestFit="1" customWidth="1"/>
    <col min="10498" max="10498" width="10.5" style="114" customWidth="1"/>
    <col min="10499" max="10506" width="9.6640625" style="114" customWidth="1"/>
    <col min="10507" max="10752" width="8.83203125" style="114"/>
    <col min="10753" max="10753" width="33.1640625" style="114" bestFit="1" customWidth="1"/>
    <col min="10754" max="10754" width="10.5" style="114" customWidth="1"/>
    <col min="10755" max="10762" width="9.6640625" style="114" customWidth="1"/>
    <col min="10763" max="11008" width="8.83203125" style="114"/>
    <col min="11009" max="11009" width="33.1640625" style="114" bestFit="1" customWidth="1"/>
    <col min="11010" max="11010" width="10.5" style="114" customWidth="1"/>
    <col min="11011" max="11018" width="9.6640625" style="114" customWidth="1"/>
    <col min="11019" max="11264" width="8.83203125" style="114"/>
    <col min="11265" max="11265" width="33.1640625" style="114" bestFit="1" customWidth="1"/>
    <col min="11266" max="11266" width="10.5" style="114" customWidth="1"/>
    <col min="11267" max="11274" width="9.6640625" style="114" customWidth="1"/>
    <col min="11275" max="11520" width="8.83203125" style="114"/>
    <col min="11521" max="11521" width="33.1640625" style="114" bestFit="1" customWidth="1"/>
    <col min="11522" max="11522" width="10.5" style="114" customWidth="1"/>
    <col min="11523" max="11530" width="9.6640625" style="114" customWidth="1"/>
    <col min="11531" max="11776" width="8.83203125" style="114"/>
    <col min="11777" max="11777" width="33.1640625" style="114" bestFit="1" customWidth="1"/>
    <col min="11778" max="11778" width="10.5" style="114" customWidth="1"/>
    <col min="11779" max="11786" width="9.6640625" style="114" customWidth="1"/>
    <col min="11787" max="12032" width="8.83203125" style="114"/>
    <col min="12033" max="12033" width="33.1640625" style="114" bestFit="1" customWidth="1"/>
    <col min="12034" max="12034" width="10.5" style="114" customWidth="1"/>
    <col min="12035" max="12042" width="9.6640625" style="114" customWidth="1"/>
    <col min="12043" max="12288" width="8.83203125" style="114"/>
    <col min="12289" max="12289" width="33.1640625" style="114" bestFit="1" customWidth="1"/>
    <col min="12290" max="12290" width="10.5" style="114" customWidth="1"/>
    <col min="12291" max="12298" width="9.6640625" style="114" customWidth="1"/>
    <col min="12299" max="12544" width="8.83203125" style="114"/>
    <col min="12545" max="12545" width="33.1640625" style="114" bestFit="1" customWidth="1"/>
    <col min="12546" max="12546" width="10.5" style="114" customWidth="1"/>
    <col min="12547" max="12554" width="9.6640625" style="114" customWidth="1"/>
    <col min="12555" max="12800" width="8.83203125" style="114"/>
    <col min="12801" max="12801" width="33.1640625" style="114" bestFit="1" customWidth="1"/>
    <col min="12802" max="12802" width="10.5" style="114" customWidth="1"/>
    <col min="12803" max="12810" width="9.6640625" style="114" customWidth="1"/>
    <col min="12811" max="13056" width="8.83203125" style="114"/>
    <col min="13057" max="13057" width="33.1640625" style="114" bestFit="1" customWidth="1"/>
    <col min="13058" max="13058" width="10.5" style="114" customWidth="1"/>
    <col min="13059" max="13066" width="9.6640625" style="114" customWidth="1"/>
    <col min="13067" max="13312" width="8.83203125" style="114"/>
    <col min="13313" max="13313" width="33.1640625" style="114" bestFit="1" customWidth="1"/>
    <col min="13314" max="13314" width="10.5" style="114" customWidth="1"/>
    <col min="13315" max="13322" width="9.6640625" style="114" customWidth="1"/>
    <col min="13323" max="13568" width="8.83203125" style="114"/>
    <col min="13569" max="13569" width="33.1640625" style="114" bestFit="1" customWidth="1"/>
    <col min="13570" max="13570" width="10.5" style="114" customWidth="1"/>
    <col min="13571" max="13578" width="9.6640625" style="114" customWidth="1"/>
    <col min="13579" max="13824" width="8.83203125" style="114"/>
    <col min="13825" max="13825" width="33.1640625" style="114" bestFit="1" customWidth="1"/>
    <col min="13826" max="13826" width="10.5" style="114" customWidth="1"/>
    <col min="13827" max="13834" width="9.6640625" style="114" customWidth="1"/>
    <col min="13835" max="14080" width="8.83203125" style="114"/>
    <col min="14081" max="14081" width="33.1640625" style="114" bestFit="1" customWidth="1"/>
    <col min="14082" max="14082" width="10.5" style="114" customWidth="1"/>
    <col min="14083" max="14090" width="9.6640625" style="114" customWidth="1"/>
    <col min="14091" max="14336" width="8.83203125" style="114"/>
    <col min="14337" max="14337" width="33.1640625" style="114" bestFit="1" customWidth="1"/>
    <col min="14338" max="14338" width="10.5" style="114" customWidth="1"/>
    <col min="14339" max="14346" width="9.6640625" style="114" customWidth="1"/>
    <col min="14347" max="14592" width="8.83203125" style="114"/>
    <col min="14593" max="14593" width="33.1640625" style="114" bestFit="1" customWidth="1"/>
    <col min="14594" max="14594" width="10.5" style="114" customWidth="1"/>
    <col min="14595" max="14602" width="9.6640625" style="114" customWidth="1"/>
    <col min="14603" max="14848" width="8.83203125" style="114"/>
    <col min="14849" max="14849" width="33.1640625" style="114" bestFit="1" customWidth="1"/>
    <col min="14850" max="14850" width="10.5" style="114" customWidth="1"/>
    <col min="14851" max="14858" width="9.6640625" style="114" customWidth="1"/>
    <col min="14859" max="15104" width="8.83203125" style="114"/>
    <col min="15105" max="15105" width="33.1640625" style="114" bestFit="1" customWidth="1"/>
    <col min="15106" max="15106" width="10.5" style="114" customWidth="1"/>
    <col min="15107" max="15114" width="9.6640625" style="114" customWidth="1"/>
    <col min="15115" max="15360" width="8.83203125" style="114"/>
    <col min="15361" max="15361" width="33.1640625" style="114" bestFit="1" customWidth="1"/>
    <col min="15362" max="15362" width="10.5" style="114" customWidth="1"/>
    <col min="15363" max="15370" width="9.6640625" style="114" customWidth="1"/>
    <col min="15371" max="15616" width="8.83203125" style="114"/>
    <col min="15617" max="15617" width="33.1640625" style="114" bestFit="1" customWidth="1"/>
    <col min="15618" max="15618" width="10.5" style="114" customWidth="1"/>
    <col min="15619" max="15626" width="9.6640625" style="114" customWidth="1"/>
    <col min="15627" max="15872" width="8.83203125" style="114"/>
    <col min="15873" max="15873" width="33.1640625" style="114" bestFit="1" customWidth="1"/>
    <col min="15874" max="15874" width="10.5" style="114" customWidth="1"/>
    <col min="15875" max="15882" width="9.6640625" style="114" customWidth="1"/>
    <col min="15883" max="16128" width="8.83203125" style="114"/>
    <col min="16129" max="16129" width="33.1640625" style="114" bestFit="1" customWidth="1"/>
    <col min="16130" max="16130" width="10.5" style="114" customWidth="1"/>
    <col min="16131" max="16138" width="9.6640625" style="114" customWidth="1"/>
    <col min="16139" max="16384" width="8.83203125" style="114"/>
  </cols>
  <sheetData>
    <row r="1" spans="1:13" x14ac:dyDescent="0.15">
      <c r="A1" s="1385" t="s">
        <v>399</v>
      </c>
      <c r="B1" s="1385"/>
      <c r="C1" s="1385"/>
      <c r="D1" s="1385"/>
      <c r="E1" s="1385"/>
      <c r="F1" s="1385"/>
      <c r="G1" s="1385"/>
      <c r="H1" s="1385"/>
      <c r="I1" s="1385"/>
      <c r="J1" s="1385"/>
    </row>
    <row r="2" spans="1:13" ht="21" customHeight="1" x14ac:dyDescent="0.15">
      <c r="A2" s="1386"/>
      <c r="B2" s="1386"/>
      <c r="C2" s="1386"/>
      <c r="D2" s="1386"/>
      <c r="E2" s="1386"/>
      <c r="F2" s="1386"/>
      <c r="G2" s="1386"/>
      <c r="H2" s="1386"/>
      <c r="I2" s="1386"/>
      <c r="J2" s="1386"/>
    </row>
    <row r="3" spans="1:13" x14ac:dyDescent="0.15">
      <c r="B3" s="161"/>
      <c r="C3" s="1387" t="s">
        <v>400</v>
      </c>
      <c r="D3" s="1388"/>
      <c r="E3" s="1388"/>
      <c r="F3" s="1388"/>
      <c r="G3" s="1388"/>
      <c r="H3" s="1388"/>
      <c r="I3" s="1388"/>
      <c r="J3" s="1388"/>
    </row>
    <row r="4" spans="1:13" ht="12.75" customHeight="1" x14ac:dyDescent="0.15">
      <c r="A4" s="135"/>
      <c r="B4" s="1391" t="s">
        <v>401</v>
      </c>
      <c r="C4" s="1389"/>
      <c r="D4" s="1390"/>
      <c r="E4" s="1390"/>
      <c r="F4" s="1390"/>
      <c r="G4" s="1390"/>
      <c r="H4" s="1390"/>
      <c r="I4" s="1390"/>
      <c r="J4" s="1390"/>
    </row>
    <row r="5" spans="1:13" ht="12.75" customHeight="1" x14ac:dyDescent="0.15">
      <c r="A5" s="135"/>
      <c r="B5" s="1392"/>
      <c r="C5" s="1393" t="s">
        <v>516</v>
      </c>
      <c r="D5" s="1387" t="s">
        <v>402</v>
      </c>
      <c r="E5" s="1396"/>
      <c r="F5" s="1393" t="s">
        <v>403</v>
      </c>
      <c r="G5" s="1393" t="s">
        <v>404</v>
      </c>
      <c r="H5" s="1393" t="s">
        <v>517</v>
      </c>
      <c r="I5" s="1393" t="s">
        <v>406</v>
      </c>
      <c r="J5" s="1398" t="s">
        <v>407</v>
      </c>
      <c r="M5" s="162" t="s">
        <v>515</v>
      </c>
    </row>
    <row r="6" spans="1:13" x14ac:dyDescent="0.15">
      <c r="A6" s="135"/>
      <c r="B6" s="1392"/>
      <c r="C6" s="1394"/>
      <c r="D6" s="1389"/>
      <c r="E6" s="1397"/>
      <c r="F6" s="1394"/>
      <c r="G6" s="1394"/>
      <c r="H6" s="1394"/>
      <c r="I6" s="1394"/>
      <c r="J6" s="1399"/>
      <c r="M6" s="1383" t="s">
        <v>403</v>
      </c>
    </row>
    <row r="7" spans="1:13" x14ac:dyDescent="0.15">
      <c r="A7" s="136"/>
      <c r="B7" s="1384"/>
      <c r="C7" s="1395"/>
      <c r="D7" s="137" t="s">
        <v>86</v>
      </c>
      <c r="E7" s="138" t="s">
        <v>38</v>
      </c>
      <c r="F7" s="1395"/>
      <c r="G7" s="1395"/>
      <c r="H7" s="1395"/>
      <c r="I7" s="1395"/>
      <c r="J7" s="1400"/>
      <c r="M7" s="1384"/>
    </row>
    <row r="8" spans="1:13" x14ac:dyDescent="0.15">
      <c r="A8" s="92"/>
      <c r="B8" s="139"/>
      <c r="C8" s="140"/>
      <c r="D8" s="140"/>
      <c r="E8" s="140"/>
      <c r="F8" s="140"/>
      <c r="G8" s="140"/>
      <c r="H8" s="140"/>
      <c r="I8" s="140"/>
      <c r="J8" s="140"/>
      <c r="L8" s="110"/>
    </row>
    <row r="9" spans="1:13" ht="10.5" customHeight="1" x14ac:dyDescent="0.15">
      <c r="A9" s="110" t="s">
        <v>13</v>
      </c>
      <c r="B9" s="112">
        <v>111.1</v>
      </c>
      <c r="C9" s="141">
        <v>10.55</v>
      </c>
      <c r="D9" s="141">
        <v>12.75</v>
      </c>
      <c r="E9" s="141">
        <v>4.3499999999999996</v>
      </c>
      <c r="F9" s="141">
        <v>4.79</v>
      </c>
      <c r="G9" s="141">
        <v>0.86</v>
      </c>
      <c r="H9" s="141">
        <v>0.02</v>
      </c>
      <c r="I9" s="141">
        <v>0.52</v>
      </c>
      <c r="J9" s="141">
        <v>0.43</v>
      </c>
    </row>
    <row r="10" spans="1:13" ht="10.5" customHeight="1" x14ac:dyDescent="0.15">
      <c r="B10" s="112"/>
      <c r="C10" s="141"/>
      <c r="D10" s="141"/>
      <c r="E10" s="141"/>
      <c r="F10" s="141"/>
      <c r="G10" s="141"/>
      <c r="H10" s="141"/>
      <c r="I10" s="141"/>
      <c r="J10" s="141"/>
      <c r="L10" s="142"/>
    </row>
    <row r="11" spans="1:13" ht="10.5" customHeight="1" x14ac:dyDescent="0.15">
      <c r="A11" s="142" t="s">
        <v>127</v>
      </c>
      <c r="B11" s="112"/>
      <c r="C11" s="141"/>
      <c r="D11" s="141"/>
      <c r="E11" s="141"/>
      <c r="F11" s="141"/>
      <c r="G11" s="141"/>
      <c r="H11" s="141"/>
      <c r="I11" s="141"/>
      <c r="J11" s="141"/>
      <c r="L11" s="143"/>
    </row>
    <row r="12" spans="1:13" ht="10.5" customHeight="1" x14ac:dyDescent="0.15">
      <c r="A12" s="143" t="s">
        <v>408</v>
      </c>
      <c r="B12" s="112">
        <v>20.6</v>
      </c>
      <c r="C12" s="141">
        <v>2.52</v>
      </c>
      <c r="D12" s="141">
        <v>1.69</v>
      </c>
      <c r="E12" s="141">
        <v>0.57999999999999996</v>
      </c>
      <c r="F12" s="141">
        <v>1.1499999999999999</v>
      </c>
      <c r="G12" s="141">
        <v>0.72</v>
      </c>
      <c r="H12" s="141" t="s">
        <v>409</v>
      </c>
      <c r="I12" s="141">
        <v>7.0000000000000007E-2</v>
      </c>
      <c r="J12" s="141">
        <v>0.09</v>
      </c>
      <c r="L12" s="144"/>
    </row>
    <row r="13" spans="1:13" ht="10.5" customHeight="1" x14ac:dyDescent="0.15">
      <c r="A13" s="144" t="s">
        <v>410</v>
      </c>
      <c r="B13" s="112">
        <v>5.5</v>
      </c>
      <c r="C13" s="141">
        <v>0.71</v>
      </c>
      <c r="D13" s="141">
        <v>0.41</v>
      </c>
      <c r="E13" s="141">
        <v>0.14000000000000001</v>
      </c>
      <c r="F13" s="141">
        <v>0.25</v>
      </c>
      <c r="G13" s="141">
        <v>0.3</v>
      </c>
      <c r="H13" s="141" t="s">
        <v>182</v>
      </c>
      <c r="I13" s="141">
        <v>0.02</v>
      </c>
      <c r="J13" s="141">
        <v>0.02</v>
      </c>
      <c r="L13" s="144"/>
    </row>
    <row r="14" spans="1:13" ht="10.5" customHeight="1" x14ac:dyDescent="0.15">
      <c r="A14" s="144" t="s">
        <v>411</v>
      </c>
      <c r="B14" s="112">
        <v>15.1</v>
      </c>
      <c r="C14" s="141">
        <v>1.81</v>
      </c>
      <c r="D14" s="141">
        <v>1.29</v>
      </c>
      <c r="E14" s="141">
        <v>0.44</v>
      </c>
      <c r="F14" s="141">
        <v>0.9</v>
      </c>
      <c r="G14" s="141">
        <v>0.42</v>
      </c>
      <c r="H14" s="141" t="s">
        <v>182</v>
      </c>
      <c r="I14" s="141">
        <v>0.05</v>
      </c>
      <c r="J14" s="141">
        <v>7.0000000000000007E-2</v>
      </c>
      <c r="L14" s="143"/>
    </row>
    <row r="15" spans="1:13" ht="10.5" customHeight="1" x14ac:dyDescent="0.15">
      <c r="A15" s="143" t="s">
        <v>412</v>
      </c>
      <c r="B15" s="112">
        <v>25.6</v>
      </c>
      <c r="C15" s="141">
        <v>2.91</v>
      </c>
      <c r="D15" s="141">
        <v>2.76</v>
      </c>
      <c r="E15" s="141">
        <v>0.94</v>
      </c>
      <c r="F15" s="141">
        <v>1.72</v>
      </c>
      <c r="G15" s="141">
        <v>0.06</v>
      </c>
      <c r="H15" s="141" t="s">
        <v>182</v>
      </c>
      <c r="I15" s="141">
        <v>0.18</v>
      </c>
      <c r="J15" s="141">
        <v>0.13</v>
      </c>
      <c r="L15" s="144"/>
    </row>
    <row r="16" spans="1:13" ht="10.5" customHeight="1" x14ac:dyDescent="0.15">
      <c r="A16" s="144" t="s">
        <v>413</v>
      </c>
      <c r="B16" s="112">
        <v>17.7</v>
      </c>
      <c r="C16" s="141">
        <v>2.09</v>
      </c>
      <c r="D16" s="141">
        <v>1.86</v>
      </c>
      <c r="E16" s="141">
        <v>0.63</v>
      </c>
      <c r="F16" s="141">
        <v>1.29</v>
      </c>
      <c r="G16" s="141">
        <v>0.05</v>
      </c>
      <c r="H16" s="141" t="s">
        <v>182</v>
      </c>
      <c r="I16" s="141">
        <v>0.11</v>
      </c>
      <c r="J16" s="141">
        <v>0.09</v>
      </c>
      <c r="L16" s="144"/>
    </row>
    <row r="17" spans="1:18" ht="10.5" customHeight="1" x14ac:dyDescent="0.15">
      <c r="A17" s="144" t="s">
        <v>414</v>
      </c>
      <c r="B17" s="112">
        <v>7.9</v>
      </c>
      <c r="C17" s="141">
        <v>0.82</v>
      </c>
      <c r="D17" s="141">
        <v>0.9</v>
      </c>
      <c r="E17" s="141">
        <v>0.31</v>
      </c>
      <c r="F17" s="141">
        <v>0.44</v>
      </c>
      <c r="G17" s="141" t="s">
        <v>182</v>
      </c>
      <c r="H17" s="141" t="s">
        <v>182</v>
      </c>
      <c r="I17" s="141">
        <v>7.0000000000000007E-2</v>
      </c>
      <c r="J17" s="141">
        <v>0.04</v>
      </c>
      <c r="L17" s="143"/>
    </row>
    <row r="18" spans="1:18" ht="10.5" customHeight="1" x14ac:dyDescent="0.15">
      <c r="A18" s="143" t="s">
        <v>415</v>
      </c>
      <c r="B18" s="112">
        <v>40.700000000000003</v>
      </c>
      <c r="C18" s="141">
        <v>3.25</v>
      </c>
      <c r="D18" s="141">
        <v>6.06</v>
      </c>
      <c r="E18" s="141">
        <v>2.0699999999999998</v>
      </c>
      <c r="F18" s="141">
        <v>0.94</v>
      </c>
      <c r="G18" s="141">
        <v>0.06</v>
      </c>
      <c r="H18" s="141">
        <v>0.01</v>
      </c>
      <c r="I18" s="141">
        <v>0.18</v>
      </c>
      <c r="J18" s="141">
        <v>0.12</v>
      </c>
      <c r="L18" s="144"/>
    </row>
    <row r="19" spans="1:18" ht="10.5" customHeight="1" x14ac:dyDescent="0.15">
      <c r="A19" s="144" t="s">
        <v>416</v>
      </c>
      <c r="B19" s="112">
        <v>21.7</v>
      </c>
      <c r="C19" s="141">
        <v>1.65</v>
      </c>
      <c r="D19" s="141">
        <v>3.19</v>
      </c>
      <c r="E19" s="141">
        <v>1.0900000000000001</v>
      </c>
      <c r="F19" s="141">
        <v>0.43</v>
      </c>
      <c r="G19" s="141">
        <v>0.05</v>
      </c>
      <c r="H19" s="141">
        <v>0.01</v>
      </c>
      <c r="I19" s="141">
        <v>7.0000000000000007E-2</v>
      </c>
      <c r="J19" s="141">
        <v>0.06</v>
      </c>
    </row>
    <row r="20" spans="1:18" ht="10.5" customHeight="1" x14ac:dyDescent="0.15">
      <c r="A20" s="144" t="s">
        <v>417</v>
      </c>
      <c r="B20" s="112">
        <v>6.9</v>
      </c>
      <c r="C20" s="141">
        <v>0.6</v>
      </c>
      <c r="D20" s="141">
        <v>1.1000000000000001</v>
      </c>
      <c r="E20" s="141">
        <v>0.37</v>
      </c>
      <c r="F20" s="141">
        <v>0.17</v>
      </c>
      <c r="G20" s="141" t="s">
        <v>182</v>
      </c>
      <c r="H20" s="141" t="s">
        <v>182</v>
      </c>
      <c r="I20" s="141">
        <v>0.05</v>
      </c>
      <c r="J20" s="141">
        <v>0.03</v>
      </c>
    </row>
    <row r="21" spans="1:18" ht="10.5" customHeight="1" x14ac:dyDescent="0.15">
      <c r="A21" s="144" t="s">
        <v>418</v>
      </c>
      <c r="B21" s="112">
        <v>12.1</v>
      </c>
      <c r="C21" s="141">
        <v>1</v>
      </c>
      <c r="D21" s="141">
        <v>1.77</v>
      </c>
      <c r="E21" s="141">
        <v>0.6</v>
      </c>
      <c r="F21" s="141">
        <v>0.34</v>
      </c>
      <c r="G21" s="141" t="s">
        <v>419</v>
      </c>
      <c r="H21" s="141" t="s">
        <v>419</v>
      </c>
      <c r="I21" s="141">
        <v>0.06</v>
      </c>
      <c r="J21" s="141">
        <v>0.03</v>
      </c>
      <c r="L21" s="167" t="s">
        <v>521</v>
      </c>
    </row>
    <row r="22" spans="1:18" ht="10.5" customHeight="1" x14ac:dyDescent="0.15">
      <c r="A22" s="143" t="s">
        <v>420</v>
      </c>
      <c r="B22" s="112">
        <v>24.2</v>
      </c>
      <c r="C22" s="141">
        <v>1.87</v>
      </c>
      <c r="D22" s="141">
        <v>2.23</v>
      </c>
      <c r="E22" s="141">
        <v>0.76</v>
      </c>
      <c r="F22" s="141">
        <v>0.98</v>
      </c>
      <c r="G22" s="141">
        <v>0.03</v>
      </c>
      <c r="H22" s="141" t="s">
        <v>182</v>
      </c>
      <c r="I22" s="141">
        <v>0.1</v>
      </c>
      <c r="J22" s="141">
        <v>0.09</v>
      </c>
      <c r="L22" s="143" t="s">
        <v>420</v>
      </c>
      <c r="M22" s="112">
        <f>NGRes2!D21</f>
        <v>18.2</v>
      </c>
      <c r="N22" s="168">
        <f>(F22*10^15)/(M22*10^6)</f>
        <v>53846153.846153848</v>
      </c>
      <c r="O22" s="186"/>
    </row>
    <row r="23" spans="1:18" ht="10.5" customHeight="1" x14ac:dyDescent="0.15">
      <c r="A23" s="144" t="s">
        <v>421</v>
      </c>
      <c r="B23" s="112">
        <v>7.6</v>
      </c>
      <c r="C23" s="141">
        <v>0.68</v>
      </c>
      <c r="D23" s="141">
        <v>0.82</v>
      </c>
      <c r="E23" s="141">
        <v>0.28000000000000003</v>
      </c>
      <c r="F23" s="141">
        <v>0.33</v>
      </c>
      <c r="G23" s="141" t="s">
        <v>182</v>
      </c>
      <c r="H23" s="141" t="s">
        <v>419</v>
      </c>
      <c r="I23" s="141">
        <v>0.06</v>
      </c>
      <c r="J23" s="141">
        <v>0.04</v>
      </c>
      <c r="L23" s="144" t="s">
        <v>421</v>
      </c>
      <c r="M23" s="112">
        <f>NGRes2!D22</f>
        <v>5.5</v>
      </c>
      <c r="N23" s="168">
        <f>(F23*10^15)/(M23*10^6)</f>
        <v>60000000</v>
      </c>
    </row>
    <row r="24" spans="1:18" ht="10.5" customHeight="1" x14ac:dyDescent="0.15">
      <c r="A24" s="144" t="s">
        <v>422</v>
      </c>
      <c r="B24" s="112">
        <v>16.600000000000001</v>
      </c>
      <c r="C24" s="141">
        <v>1.19</v>
      </c>
      <c r="D24" s="141">
        <v>1.41</v>
      </c>
      <c r="E24" s="141">
        <v>0.48</v>
      </c>
      <c r="F24" s="141">
        <v>0.65</v>
      </c>
      <c r="G24" s="141">
        <v>0.02</v>
      </c>
      <c r="H24" s="141" t="s">
        <v>182</v>
      </c>
      <c r="I24" s="141">
        <v>0.04</v>
      </c>
      <c r="J24" s="141">
        <v>0.05</v>
      </c>
      <c r="L24" s="144" t="s">
        <v>422</v>
      </c>
      <c r="M24" s="112">
        <f>NGRes2!D23</f>
        <v>12.7</v>
      </c>
      <c r="N24" s="168">
        <f>(F24*10^15)/(M24*10^6)</f>
        <v>51181102.362204723</v>
      </c>
    </row>
    <row r="25" spans="1:18" ht="10.5" customHeight="1" x14ac:dyDescent="0.15">
      <c r="A25" s="144"/>
      <c r="B25" s="112"/>
      <c r="C25" s="141"/>
      <c r="D25" s="141"/>
      <c r="E25" s="141"/>
      <c r="F25" s="141"/>
      <c r="G25" s="141"/>
      <c r="H25" s="141"/>
      <c r="I25" s="141"/>
      <c r="J25" s="141"/>
      <c r="L25" s="145"/>
    </row>
    <row r="26" spans="1:18" ht="10.5" customHeight="1" x14ac:dyDescent="0.15">
      <c r="A26" s="145" t="s">
        <v>423</v>
      </c>
      <c r="B26" s="112"/>
      <c r="C26" s="141"/>
      <c r="D26" s="141"/>
      <c r="E26" s="141"/>
      <c r="F26" s="141"/>
      <c r="G26" s="141"/>
      <c r="H26" s="141"/>
      <c r="I26" s="141"/>
      <c r="J26" s="141"/>
      <c r="L26" s="144"/>
    </row>
    <row r="27" spans="1:18" ht="10.5" customHeight="1" x14ac:dyDescent="0.15">
      <c r="A27" s="143" t="s">
        <v>424</v>
      </c>
      <c r="B27" s="112">
        <v>7.1</v>
      </c>
      <c r="C27" s="141">
        <v>0.84</v>
      </c>
      <c r="D27" s="141">
        <v>0.49</v>
      </c>
      <c r="E27" s="141">
        <v>0.17</v>
      </c>
      <c r="F27" s="141">
        <v>0.38</v>
      </c>
      <c r="G27" s="141">
        <v>0.26</v>
      </c>
      <c r="H27" s="141" t="s">
        <v>182</v>
      </c>
      <c r="I27" s="141">
        <v>0.03</v>
      </c>
      <c r="J27" s="141">
        <v>0.05</v>
      </c>
      <c r="L27" s="144"/>
    </row>
    <row r="28" spans="1:18" ht="10.5" customHeight="1" x14ac:dyDescent="0.15">
      <c r="A28" s="143" t="s">
        <v>425</v>
      </c>
      <c r="B28" s="112">
        <v>7</v>
      </c>
      <c r="C28" s="141">
        <v>0.42</v>
      </c>
      <c r="D28" s="141">
        <v>1.1200000000000001</v>
      </c>
      <c r="E28" s="141">
        <v>0.38</v>
      </c>
      <c r="F28" s="141">
        <v>0.03</v>
      </c>
      <c r="G28" s="141" t="s">
        <v>419</v>
      </c>
      <c r="H28" s="141" t="s">
        <v>182</v>
      </c>
      <c r="I28" s="141" t="s">
        <v>182</v>
      </c>
      <c r="J28" s="141" t="s">
        <v>182</v>
      </c>
      <c r="L28" s="144"/>
    </row>
    <row r="29" spans="1:18" ht="10.5" customHeight="1" thickBot="1" x14ac:dyDescent="0.2">
      <c r="A29" s="143" t="s">
        <v>426</v>
      </c>
      <c r="B29" s="112">
        <v>8</v>
      </c>
      <c r="C29" s="141">
        <v>0.65</v>
      </c>
      <c r="D29" s="141">
        <v>1.21</v>
      </c>
      <c r="E29" s="141">
        <v>0.41</v>
      </c>
      <c r="F29" s="141">
        <v>0.22</v>
      </c>
      <c r="G29" s="141" t="s">
        <v>419</v>
      </c>
      <c r="H29" s="141" t="s">
        <v>419</v>
      </c>
      <c r="I29" s="141">
        <v>0.02</v>
      </c>
      <c r="J29" s="141">
        <v>0.02</v>
      </c>
      <c r="L29" s="144"/>
    </row>
    <row r="30" spans="1:18" ht="10.5" customHeight="1" x14ac:dyDescent="0.15">
      <c r="A30" s="143" t="s">
        <v>427</v>
      </c>
      <c r="B30" s="112">
        <v>12.1</v>
      </c>
      <c r="C30" s="141">
        <v>0.81</v>
      </c>
      <c r="D30" s="141">
        <v>0.85</v>
      </c>
      <c r="E30" s="141">
        <v>0.28999999999999998</v>
      </c>
      <c r="F30" s="141">
        <v>0.49</v>
      </c>
      <c r="G30" s="141" t="s">
        <v>182</v>
      </c>
      <c r="H30" s="141" t="s">
        <v>419</v>
      </c>
      <c r="I30" s="141">
        <v>0.03</v>
      </c>
      <c r="J30" s="141">
        <v>0.03</v>
      </c>
      <c r="L30" s="415" t="s">
        <v>1316</v>
      </c>
      <c r="M30" s="416"/>
      <c r="N30" s="416"/>
      <c r="O30" s="416"/>
      <c r="P30" s="416"/>
      <c r="Q30" s="416"/>
      <c r="R30" s="417"/>
    </row>
    <row r="31" spans="1:18" ht="10.5" customHeight="1" x14ac:dyDescent="0.15">
      <c r="A31" s="143" t="s">
        <v>428</v>
      </c>
      <c r="B31" s="112">
        <v>76.900000000000006</v>
      </c>
      <c r="C31" s="141">
        <v>7.82</v>
      </c>
      <c r="D31" s="141">
        <v>9.09</v>
      </c>
      <c r="E31" s="141">
        <v>3.1</v>
      </c>
      <c r="F31" s="141">
        <v>3.67</v>
      </c>
      <c r="G31" s="141">
        <v>0.61</v>
      </c>
      <c r="H31" s="141">
        <v>0.02</v>
      </c>
      <c r="I31" s="141">
        <v>0.43</v>
      </c>
      <c r="J31" s="141">
        <v>0.33</v>
      </c>
      <c r="L31" s="418" t="s">
        <v>1317</v>
      </c>
      <c r="M31" s="412"/>
      <c r="N31" s="412"/>
      <c r="O31" s="412"/>
      <c r="P31" s="412"/>
      <c r="Q31" s="419" t="s">
        <v>1320</v>
      </c>
      <c r="R31" s="420"/>
    </row>
    <row r="32" spans="1:18" ht="10.5" customHeight="1" x14ac:dyDescent="0.15">
      <c r="A32" s="144"/>
      <c r="B32" s="112"/>
      <c r="C32" s="141"/>
      <c r="D32" s="141"/>
      <c r="E32" s="141"/>
      <c r="F32" s="141"/>
      <c r="G32" s="141"/>
      <c r="H32" s="141"/>
      <c r="I32" s="141"/>
      <c r="J32" s="141"/>
      <c r="L32" s="421" t="s">
        <v>1318</v>
      </c>
      <c r="M32" s="422">
        <v>2010</v>
      </c>
      <c r="N32" s="412"/>
      <c r="O32" s="412"/>
      <c r="P32" s="412"/>
      <c r="Q32" s="412" t="s">
        <v>1322</v>
      </c>
      <c r="R32" s="420"/>
    </row>
    <row r="33" spans="1:18" ht="10.5" customHeight="1" x14ac:dyDescent="0.15">
      <c r="A33" s="142" t="s">
        <v>429</v>
      </c>
      <c r="B33" s="112"/>
      <c r="C33" s="141"/>
      <c r="D33" s="141"/>
      <c r="E33" s="141"/>
      <c r="F33" s="141"/>
      <c r="G33" s="141"/>
      <c r="H33" s="141"/>
      <c r="I33" s="141"/>
      <c r="J33" s="141"/>
      <c r="L33" s="423" t="s">
        <v>26</v>
      </c>
      <c r="M33" s="424">
        <v>71882</v>
      </c>
      <c r="N33" s="424">
        <f>M33*10^6</f>
        <v>71882000000</v>
      </c>
      <c r="O33" s="412"/>
      <c r="P33" s="412"/>
      <c r="Q33" s="412">
        <f>9.7044*100</f>
        <v>970.43999999999994</v>
      </c>
      <c r="R33" s="420"/>
    </row>
    <row r="34" spans="1:18" ht="10.5" customHeight="1" x14ac:dyDescent="0.15">
      <c r="A34" s="143" t="s">
        <v>430</v>
      </c>
      <c r="B34" s="112">
        <v>47.1</v>
      </c>
      <c r="C34" s="141">
        <v>4.0199999999999996</v>
      </c>
      <c r="D34" s="141">
        <v>4.66</v>
      </c>
      <c r="E34" s="141">
        <v>1.59</v>
      </c>
      <c r="F34" s="141">
        <v>2.13</v>
      </c>
      <c r="G34" s="141">
        <v>0.25</v>
      </c>
      <c r="H34" s="141" t="s">
        <v>409</v>
      </c>
      <c r="I34" s="141">
        <v>0.04</v>
      </c>
      <c r="J34" s="141">
        <v>0.05</v>
      </c>
      <c r="L34" s="423"/>
      <c r="M34" s="412"/>
      <c r="N34" s="412"/>
      <c r="O34" s="412"/>
      <c r="P34" s="412"/>
      <c r="Q34" s="412"/>
      <c r="R34" s="420"/>
    </row>
    <row r="35" spans="1:18" ht="10.5" customHeight="1" x14ac:dyDescent="0.15">
      <c r="A35" s="143" t="s">
        <v>431</v>
      </c>
      <c r="B35" s="112">
        <v>19</v>
      </c>
      <c r="C35" s="141">
        <v>1.94</v>
      </c>
      <c r="D35" s="141">
        <v>2.08</v>
      </c>
      <c r="E35" s="141">
        <v>0.71</v>
      </c>
      <c r="F35" s="141">
        <v>1</v>
      </c>
      <c r="G35" s="141">
        <v>0.19</v>
      </c>
      <c r="H35" s="141" t="s">
        <v>409</v>
      </c>
      <c r="I35" s="141">
        <v>0.03</v>
      </c>
      <c r="J35" s="141">
        <v>0.04</v>
      </c>
      <c r="L35" s="423"/>
      <c r="M35" s="412"/>
      <c r="N35" s="412"/>
      <c r="O35" s="412"/>
      <c r="P35" s="412"/>
      <c r="Q35" s="412"/>
      <c r="R35" s="420"/>
    </row>
    <row r="36" spans="1:18" ht="10.5" customHeight="1" x14ac:dyDescent="0.15">
      <c r="A36" s="143" t="s">
        <v>432</v>
      </c>
      <c r="B36" s="112">
        <v>22.7</v>
      </c>
      <c r="C36" s="141">
        <v>2.46</v>
      </c>
      <c r="D36" s="141">
        <v>2.85</v>
      </c>
      <c r="E36" s="141">
        <v>0.97</v>
      </c>
      <c r="F36" s="141">
        <v>1.29</v>
      </c>
      <c r="G36" s="141">
        <v>0.15</v>
      </c>
      <c r="H36" s="141" t="s">
        <v>182</v>
      </c>
      <c r="I36" s="141">
        <v>0.04</v>
      </c>
      <c r="J36" s="141">
        <v>0.04</v>
      </c>
      <c r="L36" s="423" t="s">
        <v>1323</v>
      </c>
      <c r="M36" s="412"/>
      <c r="N36" s="412" t="s">
        <v>1319</v>
      </c>
      <c r="O36" s="412"/>
      <c r="P36" s="412"/>
      <c r="Q36" s="419" t="s">
        <v>1321</v>
      </c>
      <c r="R36" s="420"/>
    </row>
    <row r="37" spans="1:18" ht="10.5" customHeight="1" x14ac:dyDescent="0.15">
      <c r="A37" s="143" t="s">
        <v>433</v>
      </c>
      <c r="B37" s="112">
        <v>22.3</v>
      </c>
      <c r="C37" s="141">
        <v>2.13</v>
      </c>
      <c r="D37" s="141">
        <v>3.15</v>
      </c>
      <c r="E37" s="141">
        <v>1.08</v>
      </c>
      <c r="F37" s="141">
        <v>0.37</v>
      </c>
      <c r="G37" s="141">
        <v>0.27</v>
      </c>
      <c r="H37" s="141">
        <v>0.01</v>
      </c>
      <c r="I37" s="141">
        <v>0.4</v>
      </c>
      <c r="J37" s="141">
        <v>0.3</v>
      </c>
      <c r="L37" s="425">
        <v>877692</v>
      </c>
      <c r="M37" s="412"/>
      <c r="N37" s="424">
        <f>N33/L37</f>
        <v>81898.889359820983</v>
      </c>
      <c r="O37" s="412"/>
      <c r="P37" s="412"/>
      <c r="Q37" s="412">
        <f>N37/Q33</f>
        <v>84.393563084601823</v>
      </c>
      <c r="R37" s="420"/>
    </row>
    <row r="38" spans="1:18" ht="10.5" customHeight="1" x14ac:dyDescent="0.15">
      <c r="A38" s="143"/>
      <c r="B38" s="112"/>
      <c r="C38" s="141"/>
      <c r="D38" s="141"/>
      <c r="E38" s="141"/>
      <c r="F38" s="141"/>
      <c r="G38" s="141"/>
      <c r="H38" s="141"/>
      <c r="I38" s="141"/>
      <c r="J38" s="141"/>
      <c r="L38" s="426"/>
      <c r="M38" s="412"/>
      <c r="N38" s="412"/>
      <c r="O38" s="412"/>
      <c r="P38" s="412"/>
      <c r="Q38" s="412"/>
      <c r="R38" s="420"/>
    </row>
    <row r="39" spans="1:18" ht="13.5" customHeight="1" thickBot="1" x14ac:dyDescent="0.2">
      <c r="A39" s="146" t="s">
        <v>518</v>
      </c>
      <c r="B39" s="112"/>
      <c r="C39" s="141"/>
      <c r="D39" s="141"/>
      <c r="E39" s="141"/>
      <c r="F39" s="141"/>
      <c r="G39" s="141"/>
      <c r="H39" s="141"/>
      <c r="I39" s="141"/>
      <c r="J39" s="141"/>
      <c r="L39" s="427"/>
      <c r="M39" s="428"/>
      <c r="N39" s="428"/>
      <c r="O39" s="428"/>
      <c r="P39" s="428"/>
      <c r="Q39" s="428"/>
      <c r="R39" s="429"/>
    </row>
    <row r="40" spans="1:18" ht="10.5" customHeight="1" x14ac:dyDescent="0.15">
      <c r="A40" s="147" t="s">
        <v>435</v>
      </c>
      <c r="B40" s="112"/>
      <c r="C40" s="141"/>
      <c r="D40" s="141"/>
      <c r="E40" s="141"/>
      <c r="F40" s="141"/>
      <c r="G40" s="141"/>
      <c r="H40" s="141"/>
      <c r="I40" s="141"/>
      <c r="J40" s="141"/>
      <c r="L40" s="144"/>
    </row>
    <row r="41" spans="1:18" ht="10.5" customHeight="1" x14ac:dyDescent="0.15">
      <c r="A41" s="144" t="s">
        <v>436</v>
      </c>
      <c r="B41" s="112">
        <v>10.9</v>
      </c>
      <c r="C41" s="141">
        <v>1.29</v>
      </c>
      <c r="D41" s="141">
        <v>1.05</v>
      </c>
      <c r="E41" s="141">
        <v>0.36</v>
      </c>
      <c r="F41" s="141">
        <v>0.62</v>
      </c>
      <c r="G41" s="141">
        <v>0.18</v>
      </c>
      <c r="H41" s="141" t="s">
        <v>182</v>
      </c>
      <c r="I41" s="141">
        <v>0.13</v>
      </c>
      <c r="J41" s="141">
        <v>0.12</v>
      </c>
      <c r="L41" s="144"/>
    </row>
    <row r="42" spans="1:18" ht="10.5" customHeight="1" x14ac:dyDescent="0.15">
      <c r="A42" s="144" t="s">
        <v>437</v>
      </c>
      <c r="B42" s="112">
        <v>26.1</v>
      </c>
      <c r="C42" s="141">
        <v>3</v>
      </c>
      <c r="D42" s="141">
        <v>2.46</v>
      </c>
      <c r="E42" s="141">
        <v>0.84</v>
      </c>
      <c r="F42" s="141">
        <v>1.69</v>
      </c>
      <c r="G42" s="141">
        <v>0.34</v>
      </c>
      <c r="H42" s="141" t="s">
        <v>182</v>
      </c>
      <c r="I42" s="141">
        <v>0.12</v>
      </c>
      <c r="J42" s="141">
        <v>0.09</v>
      </c>
      <c r="L42" s="144"/>
    </row>
    <row r="43" spans="1:18" ht="10.5" customHeight="1" x14ac:dyDescent="0.15">
      <c r="A43" s="144" t="s">
        <v>438</v>
      </c>
      <c r="B43" s="112">
        <v>27.3</v>
      </c>
      <c r="C43" s="141">
        <v>2.78</v>
      </c>
      <c r="D43" s="141">
        <v>3.12</v>
      </c>
      <c r="E43" s="141">
        <v>1.06</v>
      </c>
      <c r="F43" s="141">
        <v>1.29</v>
      </c>
      <c r="G43" s="141">
        <v>0.32</v>
      </c>
      <c r="H43" s="141">
        <v>0.01</v>
      </c>
      <c r="I43" s="141">
        <v>0.1</v>
      </c>
      <c r="J43" s="141">
        <v>0.1</v>
      </c>
      <c r="L43" s="144"/>
    </row>
    <row r="44" spans="1:18" ht="10.5" customHeight="1" x14ac:dyDescent="0.15">
      <c r="A44" s="144" t="s">
        <v>439</v>
      </c>
      <c r="B44" s="112">
        <v>24</v>
      </c>
      <c r="C44" s="141">
        <v>1.83</v>
      </c>
      <c r="D44" s="141">
        <v>2.61</v>
      </c>
      <c r="E44" s="141">
        <v>0.89</v>
      </c>
      <c r="F44" s="141">
        <v>0.8</v>
      </c>
      <c r="G44" s="141" t="s">
        <v>182</v>
      </c>
      <c r="H44" s="141" t="s">
        <v>182</v>
      </c>
      <c r="I44" s="141">
        <v>0.13</v>
      </c>
      <c r="J44" s="141">
        <v>7.0000000000000007E-2</v>
      </c>
      <c r="L44" s="148"/>
    </row>
    <row r="45" spans="1:18" ht="10.5" customHeight="1" x14ac:dyDescent="0.15">
      <c r="A45" s="148" t="s">
        <v>440</v>
      </c>
      <c r="B45" s="112"/>
      <c r="C45" s="141"/>
      <c r="D45" s="141"/>
      <c r="E45" s="141"/>
      <c r="F45" s="141"/>
      <c r="G45" s="141"/>
      <c r="H45" s="141"/>
      <c r="I45" s="141"/>
      <c r="J45" s="141"/>
      <c r="L45" s="144"/>
    </row>
    <row r="46" spans="1:18" ht="10.5" customHeight="1" x14ac:dyDescent="0.15">
      <c r="A46" s="144" t="s">
        <v>441</v>
      </c>
      <c r="B46" s="112">
        <v>22.8</v>
      </c>
      <c r="C46" s="141">
        <v>1.65</v>
      </c>
      <c r="D46" s="141">
        <v>3.51</v>
      </c>
      <c r="E46" s="141">
        <v>1.2</v>
      </c>
      <c r="F46" s="141">
        <v>0.39</v>
      </c>
      <c r="G46" s="141" t="s">
        <v>182</v>
      </c>
      <c r="H46" s="141" t="s">
        <v>182</v>
      </c>
      <c r="I46" s="141">
        <v>0.06</v>
      </c>
      <c r="J46" s="141">
        <v>0.05</v>
      </c>
      <c r="L46" s="149"/>
    </row>
    <row r="47" spans="1:18" ht="10.5" customHeight="1" x14ac:dyDescent="0.15">
      <c r="A47" s="149"/>
      <c r="B47" s="112"/>
      <c r="C47" s="141"/>
      <c r="D47" s="141"/>
      <c r="E47" s="141"/>
      <c r="F47" s="141"/>
      <c r="G47" s="141"/>
      <c r="H47" s="141"/>
      <c r="I47" s="141"/>
      <c r="J47" s="141"/>
      <c r="L47" s="142"/>
    </row>
    <row r="48" spans="1:18" ht="10.5" customHeight="1" x14ac:dyDescent="0.15">
      <c r="A48" s="142" t="s">
        <v>442</v>
      </c>
      <c r="B48" s="112"/>
      <c r="C48" s="141"/>
      <c r="D48" s="141"/>
      <c r="E48" s="141"/>
      <c r="F48" s="141"/>
      <c r="G48" s="141"/>
      <c r="H48" s="141"/>
      <c r="I48" s="141"/>
      <c r="J48" s="141"/>
      <c r="L48" s="144"/>
    </row>
    <row r="49" spans="1:12" ht="10.5" customHeight="1" x14ac:dyDescent="0.15">
      <c r="A49" s="143" t="s">
        <v>443</v>
      </c>
      <c r="B49" s="112">
        <v>72.099999999999994</v>
      </c>
      <c r="C49" s="141">
        <v>7.81</v>
      </c>
      <c r="D49" s="141">
        <v>9.48</v>
      </c>
      <c r="E49" s="141">
        <v>3.24</v>
      </c>
      <c r="F49" s="141">
        <v>3.49</v>
      </c>
      <c r="G49" s="141">
        <v>0.64</v>
      </c>
      <c r="H49" s="141">
        <v>0.01</v>
      </c>
      <c r="I49" s="141">
        <v>0.43</v>
      </c>
      <c r="J49" s="141">
        <v>0.4</v>
      </c>
      <c r="L49" s="144"/>
    </row>
    <row r="50" spans="1:12" ht="10.5" customHeight="1" x14ac:dyDescent="0.15">
      <c r="A50" s="143" t="s">
        <v>444</v>
      </c>
      <c r="B50" s="112">
        <v>7.6</v>
      </c>
      <c r="C50" s="141">
        <v>0.68</v>
      </c>
      <c r="D50" s="141">
        <v>0.7</v>
      </c>
      <c r="E50" s="141">
        <v>0.24</v>
      </c>
      <c r="F50" s="141">
        <v>0.4</v>
      </c>
      <c r="G50" s="141" t="s">
        <v>182</v>
      </c>
      <c r="H50" s="141" t="s">
        <v>182</v>
      </c>
      <c r="I50" s="141" t="s">
        <v>182</v>
      </c>
      <c r="J50" s="141" t="s">
        <v>182</v>
      </c>
      <c r="L50" s="144"/>
    </row>
    <row r="51" spans="1:12" ht="10.5" customHeight="1" x14ac:dyDescent="0.15">
      <c r="A51" s="143" t="s">
        <v>445</v>
      </c>
      <c r="B51" s="112">
        <v>7.8</v>
      </c>
      <c r="C51" s="141">
        <v>0.66</v>
      </c>
      <c r="D51" s="141">
        <v>0.57999999999999996</v>
      </c>
      <c r="E51" s="141">
        <v>0.2</v>
      </c>
      <c r="F51" s="141">
        <v>0.38</v>
      </c>
      <c r="G51" s="141">
        <v>0.08</v>
      </c>
      <c r="H51" s="141" t="s">
        <v>419</v>
      </c>
      <c r="I51" s="141" t="s">
        <v>182</v>
      </c>
      <c r="J51" s="141" t="s">
        <v>182</v>
      </c>
      <c r="L51" s="144"/>
    </row>
    <row r="52" spans="1:12" ht="10.5" customHeight="1" x14ac:dyDescent="0.15">
      <c r="A52" s="143" t="s">
        <v>446</v>
      </c>
      <c r="B52" s="112">
        <v>16.7</v>
      </c>
      <c r="C52" s="141">
        <v>0.91</v>
      </c>
      <c r="D52" s="141">
        <v>1.17</v>
      </c>
      <c r="E52" s="141">
        <v>0.4</v>
      </c>
      <c r="F52" s="141">
        <v>0.4</v>
      </c>
      <c r="G52" s="141">
        <v>0.1</v>
      </c>
      <c r="H52" s="141" t="s">
        <v>182</v>
      </c>
      <c r="I52" s="141">
        <v>0.01</v>
      </c>
      <c r="J52" s="141" t="s">
        <v>182</v>
      </c>
      <c r="L52" s="144"/>
    </row>
    <row r="53" spans="1:12" ht="10.5" customHeight="1" x14ac:dyDescent="0.15">
      <c r="A53" s="143" t="s">
        <v>447</v>
      </c>
      <c r="B53" s="112">
        <v>6.9</v>
      </c>
      <c r="C53" s="141">
        <v>0.49</v>
      </c>
      <c r="D53" s="141">
        <v>0.82</v>
      </c>
      <c r="E53" s="141">
        <v>0.28000000000000003</v>
      </c>
      <c r="F53" s="141">
        <v>0.12</v>
      </c>
      <c r="G53" s="141">
        <v>0.02</v>
      </c>
      <c r="H53" s="141">
        <v>0.01</v>
      </c>
      <c r="I53" s="141">
        <v>7.0000000000000007E-2</v>
      </c>
      <c r="J53" s="141">
        <v>0.02</v>
      </c>
      <c r="L53" s="118"/>
    </row>
    <row r="54" spans="1:12" ht="10.5" customHeight="1" x14ac:dyDescent="0.15">
      <c r="A54" s="118"/>
      <c r="B54" s="112"/>
      <c r="C54" s="141"/>
      <c r="D54" s="141"/>
      <c r="E54" s="141"/>
      <c r="F54" s="141"/>
      <c r="G54" s="141"/>
      <c r="H54" s="141"/>
      <c r="I54" s="141"/>
      <c r="J54" s="141"/>
      <c r="L54" s="142"/>
    </row>
    <row r="55" spans="1:12" ht="10.5" customHeight="1" x14ac:dyDescent="0.15">
      <c r="A55" s="142" t="s">
        <v>448</v>
      </c>
      <c r="B55" s="112"/>
      <c r="C55" s="141"/>
      <c r="D55" s="141"/>
      <c r="E55" s="141"/>
      <c r="F55" s="141"/>
      <c r="G55" s="141"/>
      <c r="H55" s="141"/>
      <c r="I55" s="141"/>
      <c r="J55" s="141"/>
      <c r="L55" s="150"/>
    </row>
    <row r="56" spans="1:12" ht="10.5" customHeight="1" x14ac:dyDescent="0.15">
      <c r="A56" s="150" t="s">
        <v>449</v>
      </c>
      <c r="B56" s="112">
        <v>78.099999999999994</v>
      </c>
      <c r="C56" s="141">
        <v>8.16</v>
      </c>
      <c r="D56" s="141">
        <v>9.8800000000000008</v>
      </c>
      <c r="E56" s="141">
        <v>3.37</v>
      </c>
      <c r="F56" s="141">
        <v>3.65</v>
      </c>
      <c r="G56" s="141">
        <v>0.66</v>
      </c>
      <c r="H56" s="141">
        <v>0.01</v>
      </c>
      <c r="I56" s="141">
        <v>0.47</v>
      </c>
      <c r="J56" s="141">
        <v>0.39</v>
      </c>
      <c r="L56" s="144"/>
    </row>
    <row r="57" spans="1:12" ht="10.5" customHeight="1" x14ac:dyDescent="0.15">
      <c r="A57" s="144" t="s">
        <v>443</v>
      </c>
      <c r="B57" s="112">
        <v>64.099999999999994</v>
      </c>
      <c r="C57" s="141">
        <v>7.04</v>
      </c>
      <c r="D57" s="141">
        <v>8.5299999999999994</v>
      </c>
      <c r="E57" s="141">
        <v>2.91</v>
      </c>
      <c r="F57" s="141">
        <v>3.14</v>
      </c>
      <c r="G57" s="141">
        <v>0.59</v>
      </c>
      <c r="H57" s="141">
        <v>0.01</v>
      </c>
      <c r="I57" s="141">
        <v>0.4</v>
      </c>
      <c r="J57" s="141">
        <v>0.37</v>
      </c>
      <c r="L57" s="144"/>
    </row>
    <row r="58" spans="1:12" ht="10.5" customHeight="1" x14ac:dyDescent="0.15">
      <c r="A58" s="144" t="s">
        <v>444</v>
      </c>
      <c r="B58" s="112">
        <v>4.2</v>
      </c>
      <c r="C58" s="141">
        <v>0.4</v>
      </c>
      <c r="D58" s="141">
        <v>0.37</v>
      </c>
      <c r="E58" s="141">
        <v>0.13</v>
      </c>
      <c r="F58" s="141">
        <v>0.23</v>
      </c>
      <c r="G58" s="141" t="s">
        <v>182</v>
      </c>
      <c r="H58" s="141" t="s">
        <v>182</v>
      </c>
      <c r="I58" s="141" t="s">
        <v>182</v>
      </c>
      <c r="J58" s="141" t="s">
        <v>182</v>
      </c>
      <c r="L58" s="144"/>
    </row>
    <row r="59" spans="1:12" ht="10.5" customHeight="1" x14ac:dyDescent="0.15">
      <c r="A59" s="144" t="s">
        <v>445</v>
      </c>
      <c r="B59" s="112">
        <v>1.8</v>
      </c>
      <c r="C59" s="141">
        <v>0.2</v>
      </c>
      <c r="D59" s="141">
        <v>0.14000000000000001</v>
      </c>
      <c r="E59" s="141">
        <v>0.05</v>
      </c>
      <c r="F59" s="141">
        <v>0.13</v>
      </c>
      <c r="G59" s="141">
        <v>0.03</v>
      </c>
      <c r="H59" s="141" t="s">
        <v>419</v>
      </c>
      <c r="I59" s="141" t="s">
        <v>182</v>
      </c>
      <c r="J59" s="141" t="s">
        <v>182</v>
      </c>
      <c r="L59" s="144"/>
    </row>
    <row r="60" spans="1:12" ht="10.5" customHeight="1" x14ac:dyDescent="0.15">
      <c r="A60" s="144" t="s">
        <v>446</v>
      </c>
      <c r="B60" s="112">
        <v>2.2999999999999998</v>
      </c>
      <c r="C60" s="141">
        <v>0.12</v>
      </c>
      <c r="D60" s="141">
        <v>0.16</v>
      </c>
      <c r="E60" s="141">
        <v>0.05</v>
      </c>
      <c r="F60" s="141">
        <v>0.05</v>
      </c>
      <c r="G60" s="141" t="s">
        <v>182</v>
      </c>
      <c r="H60" s="141" t="s">
        <v>419</v>
      </c>
      <c r="I60" s="141" t="s">
        <v>182</v>
      </c>
      <c r="J60" s="141" t="s">
        <v>419</v>
      </c>
      <c r="L60" s="144"/>
    </row>
    <row r="61" spans="1:12" ht="10.5" customHeight="1" x14ac:dyDescent="0.15">
      <c r="A61" s="144" t="s">
        <v>447</v>
      </c>
      <c r="B61" s="112">
        <v>5.7</v>
      </c>
      <c r="C61" s="141">
        <v>0.4</v>
      </c>
      <c r="D61" s="141">
        <v>0.69</v>
      </c>
      <c r="E61" s="141">
        <v>0.23</v>
      </c>
      <c r="F61" s="141">
        <v>0.09</v>
      </c>
      <c r="G61" s="141">
        <v>0.01</v>
      </c>
      <c r="H61" s="141">
        <v>0.01</v>
      </c>
      <c r="I61" s="141">
        <v>0.06</v>
      </c>
      <c r="J61" s="141">
        <v>0.02</v>
      </c>
      <c r="L61" s="143"/>
    </row>
    <row r="62" spans="1:12" ht="10.5" customHeight="1" x14ac:dyDescent="0.15">
      <c r="A62" s="150" t="s">
        <v>450</v>
      </c>
      <c r="B62" s="112">
        <v>33</v>
      </c>
      <c r="C62" s="141">
        <v>2.39</v>
      </c>
      <c r="D62" s="141">
        <v>2.87</v>
      </c>
      <c r="E62" s="141">
        <v>0.98</v>
      </c>
      <c r="F62" s="141">
        <v>1.1499999999999999</v>
      </c>
      <c r="G62" s="141">
        <v>0.21</v>
      </c>
      <c r="H62" s="141" t="s">
        <v>182</v>
      </c>
      <c r="I62" s="141">
        <v>0.06</v>
      </c>
      <c r="J62" s="141">
        <v>0.03</v>
      </c>
      <c r="L62" s="150"/>
    </row>
    <row r="63" spans="1:12" ht="10.5" customHeight="1" x14ac:dyDescent="0.15">
      <c r="A63" s="144" t="s">
        <v>443</v>
      </c>
      <c r="B63" s="112">
        <v>8</v>
      </c>
      <c r="C63" s="141">
        <v>0.77</v>
      </c>
      <c r="D63" s="141">
        <v>0.96</v>
      </c>
      <c r="E63" s="141">
        <v>0.33</v>
      </c>
      <c r="F63" s="141">
        <v>0.36</v>
      </c>
      <c r="G63" s="141">
        <v>0.06</v>
      </c>
      <c r="H63" s="141" t="s">
        <v>182</v>
      </c>
      <c r="I63" s="141">
        <v>0.03</v>
      </c>
      <c r="J63" s="141">
        <v>0.03</v>
      </c>
      <c r="L63" s="144"/>
    </row>
    <row r="64" spans="1:12" ht="10.5" customHeight="1" x14ac:dyDescent="0.15">
      <c r="A64" s="144" t="s">
        <v>444</v>
      </c>
      <c r="B64" s="112">
        <v>3.4</v>
      </c>
      <c r="C64" s="141">
        <v>0.28000000000000003</v>
      </c>
      <c r="D64" s="141">
        <v>0.33</v>
      </c>
      <c r="E64" s="141">
        <v>0.11</v>
      </c>
      <c r="F64" s="141">
        <v>0.17</v>
      </c>
      <c r="G64" s="141" t="s">
        <v>182</v>
      </c>
      <c r="H64" s="141" t="s">
        <v>419</v>
      </c>
      <c r="I64" s="141" t="s">
        <v>182</v>
      </c>
      <c r="J64" s="141" t="s">
        <v>182</v>
      </c>
      <c r="L64" s="144"/>
    </row>
    <row r="65" spans="1:12" ht="10.5" customHeight="1" x14ac:dyDescent="0.15">
      <c r="A65" s="144" t="s">
        <v>445</v>
      </c>
      <c r="B65" s="112">
        <v>5.9</v>
      </c>
      <c r="C65" s="141">
        <v>0.46</v>
      </c>
      <c r="D65" s="141">
        <v>0.44</v>
      </c>
      <c r="E65" s="141">
        <v>0.15</v>
      </c>
      <c r="F65" s="141">
        <v>0.25</v>
      </c>
      <c r="G65" s="141">
        <v>0.05</v>
      </c>
      <c r="H65" s="141" t="s">
        <v>419</v>
      </c>
      <c r="I65" s="141" t="s">
        <v>182</v>
      </c>
      <c r="J65" s="141" t="s">
        <v>182</v>
      </c>
      <c r="L65" s="144"/>
    </row>
    <row r="66" spans="1:12" ht="10.5" customHeight="1" x14ac:dyDescent="0.15">
      <c r="A66" s="144" t="s">
        <v>446</v>
      </c>
      <c r="B66" s="112">
        <v>14.4</v>
      </c>
      <c r="C66" s="141">
        <v>0.79</v>
      </c>
      <c r="D66" s="141">
        <v>1.01</v>
      </c>
      <c r="E66" s="141">
        <v>0.35</v>
      </c>
      <c r="F66" s="141">
        <v>0.35</v>
      </c>
      <c r="G66" s="141">
        <v>0.09</v>
      </c>
      <c r="H66" s="141" t="s">
        <v>182</v>
      </c>
      <c r="I66" s="141">
        <v>0.01</v>
      </c>
      <c r="J66" s="141" t="s">
        <v>182</v>
      </c>
      <c r="L66" s="144"/>
    </row>
    <row r="67" spans="1:12" ht="10.5" customHeight="1" x14ac:dyDescent="0.15">
      <c r="A67" s="144" t="s">
        <v>447</v>
      </c>
      <c r="B67" s="112">
        <v>1.2</v>
      </c>
      <c r="C67" s="141">
        <v>0.08</v>
      </c>
      <c r="D67" s="141">
        <v>0.13</v>
      </c>
      <c r="E67" s="141">
        <v>0.04</v>
      </c>
      <c r="F67" s="141">
        <v>0.02</v>
      </c>
      <c r="G67" s="141" t="s">
        <v>182</v>
      </c>
      <c r="H67" s="141" t="s">
        <v>182</v>
      </c>
      <c r="I67" s="141">
        <v>0.01</v>
      </c>
      <c r="J67" s="141" t="s">
        <v>182</v>
      </c>
      <c r="L67" s="144"/>
    </row>
    <row r="68" spans="1:12" ht="10.5" customHeight="1" x14ac:dyDescent="0.15">
      <c r="A68" s="144"/>
      <c r="B68" s="112"/>
      <c r="C68" s="141"/>
      <c r="D68" s="141"/>
      <c r="E68" s="141"/>
      <c r="F68" s="141"/>
      <c r="G68" s="141"/>
      <c r="H68" s="141"/>
      <c r="I68" s="141"/>
      <c r="J68" s="141"/>
      <c r="L68" s="144"/>
    </row>
    <row r="69" spans="1:12" ht="10.5" customHeight="1" x14ac:dyDescent="0.15">
      <c r="A69" s="142" t="s">
        <v>451</v>
      </c>
      <c r="B69" s="112"/>
      <c r="C69" s="141"/>
      <c r="D69" s="141"/>
      <c r="E69" s="141"/>
      <c r="F69" s="141"/>
      <c r="G69" s="141"/>
      <c r="H69" s="141"/>
      <c r="I69" s="141"/>
      <c r="J69" s="141"/>
      <c r="L69" s="142"/>
    </row>
    <row r="70" spans="1:12" ht="10.5" customHeight="1" x14ac:dyDescent="0.15">
      <c r="A70" s="143" t="s">
        <v>452</v>
      </c>
      <c r="B70" s="112">
        <v>14.7</v>
      </c>
      <c r="C70" s="141">
        <v>1.77</v>
      </c>
      <c r="D70" s="141">
        <v>1.34</v>
      </c>
      <c r="E70" s="141">
        <v>0.46</v>
      </c>
      <c r="F70" s="141">
        <v>0.94</v>
      </c>
      <c r="G70" s="141">
        <v>0.3</v>
      </c>
      <c r="H70" s="141" t="s">
        <v>409</v>
      </c>
      <c r="I70" s="141">
        <v>7.0000000000000007E-2</v>
      </c>
      <c r="J70" s="141">
        <v>0.1</v>
      </c>
      <c r="L70" s="143"/>
    </row>
    <row r="71" spans="1:12" ht="10.5" customHeight="1" x14ac:dyDescent="0.15">
      <c r="A71" s="143" t="s">
        <v>453</v>
      </c>
      <c r="B71" s="112">
        <v>7.4</v>
      </c>
      <c r="C71" s="141">
        <v>0.77</v>
      </c>
      <c r="D71" s="141">
        <v>0.65</v>
      </c>
      <c r="E71" s="141">
        <v>0.22</v>
      </c>
      <c r="F71" s="141">
        <v>0.41</v>
      </c>
      <c r="G71" s="141">
        <v>0.1</v>
      </c>
      <c r="H71" s="141" t="s">
        <v>182</v>
      </c>
      <c r="I71" s="141">
        <v>0.04</v>
      </c>
      <c r="J71" s="141">
        <v>0.02</v>
      </c>
      <c r="L71" s="143"/>
    </row>
    <row r="72" spans="1:12" ht="10.5" customHeight="1" x14ac:dyDescent="0.15">
      <c r="A72" s="143" t="s">
        <v>454</v>
      </c>
      <c r="B72" s="112">
        <v>12.5</v>
      </c>
      <c r="C72" s="141">
        <v>1.23</v>
      </c>
      <c r="D72" s="141">
        <v>1.19</v>
      </c>
      <c r="E72" s="141">
        <v>0.41</v>
      </c>
      <c r="F72" s="141">
        <v>0.64</v>
      </c>
      <c r="G72" s="141">
        <v>0.15</v>
      </c>
      <c r="H72" s="141" t="s">
        <v>182</v>
      </c>
      <c r="I72" s="141">
        <v>0.03</v>
      </c>
      <c r="J72" s="141">
        <v>0.03</v>
      </c>
      <c r="L72" s="143"/>
    </row>
    <row r="73" spans="1:12" ht="10.5" customHeight="1" x14ac:dyDescent="0.15">
      <c r="A73" s="143" t="s">
        <v>455</v>
      </c>
      <c r="B73" s="112">
        <v>12.5</v>
      </c>
      <c r="C73" s="141">
        <v>1.18</v>
      </c>
      <c r="D73" s="141">
        <v>1.33</v>
      </c>
      <c r="E73" s="141">
        <v>0.46</v>
      </c>
      <c r="F73" s="141">
        <v>0.59</v>
      </c>
      <c r="G73" s="141">
        <v>0.11</v>
      </c>
      <c r="H73" s="141" t="s">
        <v>182</v>
      </c>
      <c r="I73" s="141">
        <v>0.03</v>
      </c>
      <c r="J73" s="141">
        <v>0.04</v>
      </c>
      <c r="L73" s="143"/>
    </row>
    <row r="74" spans="1:12" ht="10.5" customHeight="1" x14ac:dyDescent="0.15">
      <c r="A74" s="143" t="s">
        <v>456</v>
      </c>
      <c r="B74" s="112">
        <v>18.899999999999999</v>
      </c>
      <c r="C74" s="141">
        <v>1.58</v>
      </c>
      <c r="D74" s="141">
        <v>2.15</v>
      </c>
      <c r="E74" s="141">
        <v>0.73</v>
      </c>
      <c r="F74" s="141">
        <v>0.65</v>
      </c>
      <c r="G74" s="141">
        <v>0.11</v>
      </c>
      <c r="H74" s="141">
        <v>0.01</v>
      </c>
      <c r="I74" s="141">
        <v>7.0000000000000007E-2</v>
      </c>
      <c r="J74" s="141">
        <v>0.09</v>
      </c>
      <c r="L74" s="143"/>
    </row>
    <row r="75" spans="1:12" ht="10.5" customHeight="1" x14ac:dyDescent="0.15">
      <c r="A75" s="143" t="s">
        <v>457</v>
      </c>
      <c r="B75" s="112">
        <v>18.600000000000001</v>
      </c>
      <c r="C75" s="141">
        <v>1.51</v>
      </c>
      <c r="D75" s="141">
        <v>2.31</v>
      </c>
      <c r="E75" s="141">
        <v>0.79</v>
      </c>
      <c r="F75" s="141">
        <v>0.59</v>
      </c>
      <c r="G75" s="141">
        <v>0.05</v>
      </c>
      <c r="H75" s="141" t="s">
        <v>409</v>
      </c>
      <c r="I75" s="141">
        <v>0.08</v>
      </c>
      <c r="J75" s="141">
        <v>0.06</v>
      </c>
      <c r="L75" s="143"/>
    </row>
    <row r="76" spans="1:12" ht="10.5" customHeight="1" x14ac:dyDescent="0.15">
      <c r="A76" s="143" t="s">
        <v>458</v>
      </c>
      <c r="B76" s="112">
        <v>17.3</v>
      </c>
      <c r="C76" s="141">
        <v>1.64</v>
      </c>
      <c r="D76" s="141">
        <v>2.4900000000000002</v>
      </c>
      <c r="E76" s="141">
        <v>0.85</v>
      </c>
      <c r="F76" s="141">
        <v>0.63</v>
      </c>
      <c r="G76" s="141">
        <v>0.04</v>
      </c>
      <c r="H76" s="141" t="s">
        <v>182</v>
      </c>
      <c r="I76" s="141">
        <v>0.11</v>
      </c>
      <c r="J76" s="141">
        <v>0.06</v>
      </c>
      <c r="L76" s="143"/>
    </row>
    <row r="77" spans="1:12" ht="10.5" customHeight="1" x14ac:dyDescent="0.15">
      <c r="A77" s="143" t="s">
        <v>459</v>
      </c>
      <c r="B77" s="112">
        <v>9.1999999999999993</v>
      </c>
      <c r="C77" s="141">
        <v>0.87</v>
      </c>
      <c r="D77" s="141">
        <v>1.29</v>
      </c>
      <c r="E77" s="141">
        <v>0.44</v>
      </c>
      <c r="F77" s="141">
        <v>0.34</v>
      </c>
      <c r="G77" s="141">
        <v>0.02</v>
      </c>
      <c r="H77" s="141" t="s">
        <v>182</v>
      </c>
      <c r="I77" s="141">
        <v>0.08</v>
      </c>
      <c r="J77" s="141">
        <v>0.03</v>
      </c>
      <c r="L77" s="143"/>
    </row>
    <row r="78" spans="1:12" ht="10.5" customHeight="1" x14ac:dyDescent="0.15">
      <c r="A78" s="143"/>
      <c r="B78" s="112"/>
      <c r="C78" s="141"/>
      <c r="D78" s="141"/>
      <c r="E78" s="141"/>
      <c r="F78" s="141"/>
      <c r="G78" s="141"/>
      <c r="H78" s="141"/>
      <c r="I78" s="141"/>
      <c r="J78" s="141"/>
      <c r="L78" s="143"/>
    </row>
    <row r="79" spans="1:12" ht="10.5" customHeight="1" x14ac:dyDescent="0.15">
      <c r="A79" s="142" t="s">
        <v>460</v>
      </c>
      <c r="B79" s="112"/>
      <c r="C79" s="141"/>
      <c r="D79" s="141"/>
      <c r="E79" s="141"/>
      <c r="F79" s="141"/>
      <c r="G79" s="141"/>
      <c r="H79" s="141"/>
      <c r="I79" s="141"/>
      <c r="J79" s="141"/>
      <c r="L79" s="149"/>
    </row>
    <row r="80" spans="1:12" ht="10.5" customHeight="1" x14ac:dyDescent="0.15">
      <c r="A80" s="143" t="s">
        <v>461</v>
      </c>
      <c r="B80" s="112">
        <v>3.2</v>
      </c>
      <c r="C80" s="141">
        <v>0.18</v>
      </c>
      <c r="D80" s="141">
        <v>0.19</v>
      </c>
      <c r="E80" s="141">
        <v>0.06</v>
      </c>
      <c r="F80" s="141">
        <v>0.1</v>
      </c>
      <c r="G80" s="141" t="s">
        <v>182</v>
      </c>
      <c r="H80" s="141" t="s">
        <v>182</v>
      </c>
      <c r="I80" s="141">
        <v>0.01</v>
      </c>
      <c r="J80" s="141" t="s">
        <v>182</v>
      </c>
      <c r="L80" s="149"/>
    </row>
    <row r="81" spans="1:12" ht="10.5" customHeight="1" x14ac:dyDescent="0.15">
      <c r="A81" s="143" t="s">
        <v>462</v>
      </c>
      <c r="B81" s="112">
        <v>23.8</v>
      </c>
      <c r="C81" s="141">
        <v>1.48</v>
      </c>
      <c r="D81" s="141">
        <v>1.88</v>
      </c>
      <c r="E81" s="141">
        <v>0.64</v>
      </c>
      <c r="F81" s="141">
        <v>0.64</v>
      </c>
      <c r="G81" s="141">
        <v>0.13</v>
      </c>
      <c r="H81" s="141" t="s">
        <v>409</v>
      </c>
      <c r="I81" s="141">
        <v>0.06</v>
      </c>
      <c r="J81" s="141">
        <v>0.04</v>
      </c>
      <c r="L81" s="149"/>
    </row>
    <row r="82" spans="1:12" ht="10.5" customHeight="1" x14ac:dyDescent="0.15">
      <c r="A82" s="143" t="s">
        <v>463</v>
      </c>
      <c r="B82" s="112">
        <v>20.8</v>
      </c>
      <c r="C82" s="141">
        <v>1.71</v>
      </c>
      <c r="D82" s="141">
        <v>2.19</v>
      </c>
      <c r="E82" s="141">
        <v>0.75</v>
      </c>
      <c r="F82" s="141">
        <v>0.79</v>
      </c>
      <c r="G82" s="141">
        <v>0.08</v>
      </c>
      <c r="H82" s="141">
        <v>0.01</v>
      </c>
      <c r="I82" s="141">
        <v>0.09</v>
      </c>
      <c r="J82" s="141">
        <v>0.05</v>
      </c>
      <c r="L82" s="149"/>
    </row>
    <row r="83" spans="1:12" ht="10.5" customHeight="1" x14ac:dyDescent="0.15">
      <c r="A83" s="143" t="s">
        <v>464</v>
      </c>
      <c r="B83" s="112">
        <v>15.4</v>
      </c>
      <c r="C83" s="141">
        <v>1.45</v>
      </c>
      <c r="D83" s="141">
        <v>1.88</v>
      </c>
      <c r="E83" s="141">
        <v>0.64</v>
      </c>
      <c r="F83" s="141">
        <v>0.66</v>
      </c>
      <c r="G83" s="141">
        <v>7.0000000000000007E-2</v>
      </c>
      <c r="H83" s="141" t="s">
        <v>409</v>
      </c>
      <c r="I83" s="141">
        <v>0.08</v>
      </c>
      <c r="J83" s="141">
        <v>0.08</v>
      </c>
      <c r="L83" s="149"/>
    </row>
    <row r="84" spans="1:12" ht="10.5" customHeight="1" x14ac:dyDescent="0.15">
      <c r="A84" s="143" t="s">
        <v>465</v>
      </c>
      <c r="B84" s="112">
        <v>12.2</v>
      </c>
      <c r="C84" s="141">
        <v>1.25</v>
      </c>
      <c r="D84" s="141">
        <v>1.5</v>
      </c>
      <c r="E84" s="141">
        <v>0.51</v>
      </c>
      <c r="F84" s="141">
        <v>0.57999999999999996</v>
      </c>
      <c r="G84" s="141">
        <v>0.09</v>
      </c>
      <c r="H84" s="141" t="s">
        <v>182</v>
      </c>
      <c r="I84" s="141">
        <v>0.06</v>
      </c>
      <c r="J84" s="141">
        <v>0.05</v>
      </c>
      <c r="L84" s="149"/>
    </row>
    <row r="85" spans="1:12" ht="10.5" customHeight="1" x14ac:dyDescent="0.15">
      <c r="A85" s="143" t="s">
        <v>466</v>
      </c>
      <c r="B85" s="112">
        <v>10.3</v>
      </c>
      <c r="C85" s="141">
        <v>1.1599999999999999</v>
      </c>
      <c r="D85" s="141">
        <v>1.31</v>
      </c>
      <c r="E85" s="141">
        <v>0.45</v>
      </c>
      <c r="F85" s="141">
        <v>0.53</v>
      </c>
      <c r="G85" s="141">
        <v>0.12</v>
      </c>
      <c r="H85" s="141" t="s">
        <v>182</v>
      </c>
      <c r="I85" s="141">
        <v>0.06</v>
      </c>
      <c r="J85" s="141">
        <v>0.06</v>
      </c>
      <c r="L85" s="149"/>
    </row>
    <row r="86" spans="1:12" ht="10.5" customHeight="1" x14ac:dyDescent="0.15">
      <c r="A86" s="143" t="s">
        <v>467</v>
      </c>
      <c r="B86" s="112">
        <v>6.7</v>
      </c>
      <c r="C86" s="141">
        <v>0.78</v>
      </c>
      <c r="D86" s="141">
        <v>0.86</v>
      </c>
      <c r="E86" s="141">
        <v>0.3</v>
      </c>
      <c r="F86" s="141">
        <v>0.34</v>
      </c>
      <c r="G86" s="141">
        <v>0.1</v>
      </c>
      <c r="H86" s="141" t="s">
        <v>182</v>
      </c>
      <c r="I86" s="141">
        <v>0.04</v>
      </c>
      <c r="J86" s="141">
        <v>0.04</v>
      </c>
      <c r="L86" s="149"/>
    </row>
    <row r="87" spans="1:12" ht="10.5" customHeight="1" x14ac:dyDescent="0.15">
      <c r="A87" s="143" t="s">
        <v>468</v>
      </c>
      <c r="B87" s="112">
        <v>5.2</v>
      </c>
      <c r="C87" s="141">
        <v>0.68</v>
      </c>
      <c r="D87" s="141">
        <v>0.71</v>
      </c>
      <c r="E87" s="141">
        <v>0.24</v>
      </c>
      <c r="F87" s="141">
        <v>0.31</v>
      </c>
      <c r="G87" s="141">
        <v>0.08</v>
      </c>
      <c r="H87" s="141" t="s">
        <v>182</v>
      </c>
      <c r="I87" s="141">
        <v>0.04</v>
      </c>
      <c r="J87" s="141">
        <v>0.04</v>
      </c>
      <c r="L87" s="149"/>
    </row>
    <row r="88" spans="1:12" ht="10.5" customHeight="1" x14ac:dyDescent="0.15">
      <c r="A88" s="143" t="s">
        <v>469</v>
      </c>
      <c r="B88" s="112">
        <v>13.3</v>
      </c>
      <c r="C88" s="141">
        <v>1.87</v>
      </c>
      <c r="D88" s="141">
        <v>2.23</v>
      </c>
      <c r="E88" s="141">
        <v>0.76</v>
      </c>
      <c r="F88" s="141">
        <v>0.83</v>
      </c>
      <c r="G88" s="141">
        <v>0.18</v>
      </c>
      <c r="H88" s="141" t="s">
        <v>182</v>
      </c>
      <c r="I88" s="141">
        <v>0.1</v>
      </c>
      <c r="J88" s="141">
        <v>0.08</v>
      </c>
      <c r="L88" s="149"/>
    </row>
    <row r="89" spans="1:12" ht="10.5" customHeight="1" x14ac:dyDescent="0.15">
      <c r="A89" s="143"/>
      <c r="B89" s="112"/>
      <c r="C89" s="141"/>
      <c r="D89" s="141"/>
      <c r="E89" s="141"/>
      <c r="F89" s="141"/>
      <c r="G89" s="141"/>
      <c r="H89" s="141"/>
      <c r="I89" s="141"/>
      <c r="J89" s="141"/>
      <c r="L89" s="149"/>
    </row>
    <row r="90" spans="1:12" ht="10.5" customHeight="1" x14ac:dyDescent="0.15">
      <c r="A90" s="115" t="s">
        <v>470</v>
      </c>
      <c r="B90" s="112"/>
      <c r="C90" s="141"/>
      <c r="D90" s="141"/>
      <c r="E90" s="141"/>
      <c r="F90" s="141"/>
      <c r="G90" s="141"/>
      <c r="H90" s="141"/>
      <c r="I90" s="141"/>
      <c r="J90" s="141"/>
      <c r="L90" s="149"/>
    </row>
    <row r="91" spans="1:12" ht="10.5" customHeight="1" x14ac:dyDescent="0.15">
      <c r="A91" s="143" t="s">
        <v>471</v>
      </c>
      <c r="B91" s="112">
        <v>30</v>
      </c>
      <c r="C91" s="141">
        <v>2.12</v>
      </c>
      <c r="D91" s="141">
        <v>2.25</v>
      </c>
      <c r="E91" s="141">
        <v>0.77</v>
      </c>
      <c r="F91" s="141">
        <v>1.05</v>
      </c>
      <c r="G91" s="141">
        <v>0.21</v>
      </c>
      <c r="H91" s="141">
        <v>0.01</v>
      </c>
      <c r="I91" s="141">
        <v>0.1</v>
      </c>
      <c r="J91" s="141">
        <v>0.06</v>
      </c>
      <c r="L91" s="143"/>
    </row>
    <row r="92" spans="1:12" ht="10.5" customHeight="1" x14ac:dyDescent="0.15">
      <c r="A92" s="143" t="s">
        <v>472</v>
      </c>
      <c r="B92" s="151">
        <v>34.799999999999997</v>
      </c>
      <c r="C92" s="152">
        <v>3.36</v>
      </c>
      <c r="D92" s="152">
        <v>4.0599999999999996</v>
      </c>
      <c r="E92" s="152">
        <v>1.39</v>
      </c>
      <c r="F92" s="152">
        <v>1.46</v>
      </c>
      <c r="G92" s="152">
        <v>0.3</v>
      </c>
      <c r="H92" s="141" t="s">
        <v>409</v>
      </c>
      <c r="I92" s="141">
        <v>0.21</v>
      </c>
      <c r="J92" s="141">
        <v>0.17</v>
      </c>
      <c r="L92" s="143"/>
    </row>
    <row r="93" spans="1:12" ht="10.5" customHeight="1" x14ac:dyDescent="0.15">
      <c r="A93" s="143" t="s">
        <v>473</v>
      </c>
      <c r="B93" s="112">
        <v>18.399999999999999</v>
      </c>
      <c r="C93" s="141">
        <v>1.91</v>
      </c>
      <c r="D93" s="141">
        <v>2.44</v>
      </c>
      <c r="E93" s="141">
        <v>0.83</v>
      </c>
      <c r="F93" s="141">
        <v>0.83</v>
      </c>
      <c r="G93" s="141">
        <v>0.17</v>
      </c>
      <c r="H93" s="141" t="s">
        <v>182</v>
      </c>
      <c r="I93" s="141">
        <v>0.08</v>
      </c>
      <c r="J93" s="141">
        <v>0.09</v>
      </c>
      <c r="L93" s="143"/>
    </row>
    <row r="94" spans="1:12" ht="10.5" customHeight="1" x14ac:dyDescent="0.15">
      <c r="A94" s="143" t="s">
        <v>474</v>
      </c>
      <c r="B94" s="112">
        <v>15.9</v>
      </c>
      <c r="C94" s="141">
        <v>1.72</v>
      </c>
      <c r="D94" s="141">
        <v>2.21</v>
      </c>
      <c r="E94" s="141">
        <v>0.75</v>
      </c>
      <c r="F94" s="141">
        <v>0.77</v>
      </c>
      <c r="G94" s="141">
        <v>0.11</v>
      </c>
      <c r="H94" s="141" t="s">
        <v>182</v>
      </c>
      <c r="I94" s="141">
        <v>0.08</v>
      </c>
      <c r="J94" s="141">
        <v>0.05</v>
      </c>
      <c r="L94" s="143"/>
    </row>
    <row r="95" spans="1:12" ht="10.5" customHeight="1" x14ac:dyDescent="0.15">
      <c r="A95" s="143" t="s">
        <v>475</v>
      </c>
      <c r="B95" s="112">
        <v>7.9</v>
      </c>
      <c r="C95" s="141">
        <v>0.92</v>
      </c>
      <c r="D95" s="141">
        <v>1.17</v>
      </c>
      <c r="E95" s="141">
        <v>0.4</v>
      </c>
      <c r="F95" s="141">
        <v>0.43</v>
      </c>
      <c r="G95" s="141">
        <v>0.06</v>
      </c>
      <c r="H95" s="141" t="s">
        <v>182</v>
      </c>
      <c r="I95" s="141">
        <v>0.03</v>
      </c>
      <c r="J95" s="141">
        <v>0.03</v>
      </c>
      <c r="L95" s="143"/>
    </row>
    <row r="96" spans="1:12" ht="10.5" customHeight="1" x14ac:dyDescent="0.15">
      <c r="A96" s="143" t="s">
        <v>476</v>
      </c>
      <c r="B96" s="112">
        <v>4.0999999999999996</v>
      </c>
      <c r="C96" s="141">
        <v>0.51</v>
      </c>
      <c r="D96" s="141">
        <v>0.62</v>
      </c>
      <c r="E96" s="141">
        <v>0.21</v>
      </c>
      <c r="F96" s="141">
        <v>0.26</v>
      </c>
      <c r="G96" s="141">
        <v>0.02</v>
      </c>
      <c r="H96" s="141" t="s">
        <v>182</v>
      </c>
      <c r="I96" s="141">
        <v>0.02</v>
      </c>
      <c r="J96" s="141">
        <v>0.01</v>
      </c>
      <c r="L96" s="143"/>
    </row>
    <row r="97" spans="1:12" ht="10.5" customHeight="1" x14ac:dyDescent="0.15">
      <c r="A97" s="143"/>
      <c r="B97" s="112"/>
      <c r="C97" s="141"/>
      <c r="D97" s="141"/>
      <c r="E97" s="141"/>
      <c r="F97" s="141"/>
      <c r="G97" s="141"/>
      <c r="H97" s="141"/>
      <c r="I97" s="141"/>
      <c r="J97" s="141"/>
      <c r="L97" s="143"/>
    </row>
    <row r="98" spans="1:12" ht="10.5" customHeight="1" x14ac:dyDescent="0.15">
      <c r="A98" s="149" t="s">
        <v>477</v>
      </c>
      <c r="B98" s="112"/>
      <c r="C98" s="141"/>
      <c r="D98" s="141"/>
      <c r="E98" s="141"/>
      <c r="F98" s="141"/>
      <c r="G98" s="141"/>
      <c r="H98" s="141"/>
      <c r="I98" s="152"/>
      <c r="J98" s="152"/>
      <c r="L98" s="143"/>
    </row>
    <row r="99" spans="1:12" ht="10.5" customHeight="1" x14ac:dyDescent="0.15">
      <c r="A99" s="143" t="s">
        <v>478</v>
      </c>
      <c r="B99" s="112">
        <v>9.9</v>
      </c>
      <c r="C99" s="141">
        <v>0.73</v>
      </c>
      <c r="D99" s="141">
        <v>0.78</v>
      </c>
      <c r="E99" s="141">
        <v>0.27</v>
      </c>
      <c r="F99" s="141">
        <v>0.36</v>
      </c>
      <c r="G99" s="141">
        <v>7.0000000000000007E-2</v>
      </c>
      <c r="H99" s="141" t="s">
        <v>182</v>
      </c>
      <c r="I99" s="141">
        <v>0.03</v>
      </c>
      <c r="J99" s="141">
        <v>0.04</v>
      </c>
      <c r="L99" s="143"/>
    </row>
    <row r="100" spans="1:12" ht="10.5" customHeight="1" x14ac:dyDescent="0.15">
      <c r="A100" s="143" t="s">
        <v>479</v>
      </c>
      <c r="B100" s="112">
        <v>8.5</v>
      </c>
      <c r="C100" s="141">
        <v>0.64</v>
      </c>
      <c r="D100" s="141">
        <v>0.74</v>
      </c>
      <c r="E100" s="141">
        <v>0.25</v>
      </c>
      <c r="F100" s="141">
        <v>0.28000000000000003</v>
      </c>
      <c r="G100" s="141">
        <v>0.08</v>
      </c>
      <c r="H100" s="141" t="s">
        <v>409</v>
      </c>
      <c r="I100" s="141">
        <v>0.03</v>
      </c>
      <c r="J100" s="141">
        <v>0.01</v>
      </c>
      <c r="L100" s="118"/>
    </row>
    <row r="101" spans="1:12" ht="10.5" customHeight="1" x14ac:dyDescent="0.15">
      <c r="A101" s="143" t="s">
        <v>480</v>
      </c>
      <c r="B101" s="112">
        <v>8.4</v>
      </c>
      <c r="C101" s="141">
        <v>0.66</v>
      </c>
      <c r="D101" s="141">
        <v>0.8</v>
      </c>
      <c r="E101" s="141">
        <v>0.27</v>
      </c>
      <c r="F101" s="141">
        <v>0.28000000000000003</v>
      </c>
      <c r="G101" s="141">
        <v>7.0000000000000007E-2</v>
      </c>
      <c r="H101" s="141" t="s">
        <v>182</v>
      </c>
      <c r="I101" s="141">
        <v>0.03</v>
      </c>
      <c r="J101" s="141">
        <v>0.03</v>
      </c>
      <c r="L101" s="149"/>
    </row>
    <row r="102" spans="1:12" ht="10.5" customHeight="1" x14ac:dyDescent="0.15">
      <c r="A102" s="143" t="s">
        <v>481</v>
      </c>
      <c r="B102" s="112">
        <v>15.1</v>
      </c>
      <c r="C102" s="141">
        <v>1.29</v>
      </c>
      <c r="D102" s="141">
        <v>1.52</v>
      </c>
      <c r="E102" s="141">
        <v>0.52</v>
      </c>
      <c r="F102" s="141">
        <v>0.63</v>
      </c>
      <c r="G102" s="141">
        <v>0.08</v>
      </c>
      <c r="H102" s="141" t="s">
        <v>182</v>
      </c>
      <c r="I102" s="141">
        <v>0.05</v>
      </c>
      <c r="J102" s="141">
        <v>7.0000000000000007E-2</v>
      </c>
      <c r="L102" s="143"/>
    </row>
    <row r="103" spans="1:12" ht="10.5" customHeight="1" x14ac:dyDescent="0.15">
      <c r="A103" s="143" t="s">
        <v>482</v>
      </c>
      <c r="B103" s="112">
        <v>13.6</v>
      </c>
      <c r="C103" s="141">
        <v>1.18</v>
      </c>
      <c r="D103" s="141">
        <v>1.56</v>
      </c>
      <c r="E103" s="141">
        <v>0.53</v>
      </c>
      <c r="F103" s="141">
        <v>0.49</v>
      </c>
      <c r="G103" s="141">
        <v>0.09</v>
      </c>
      <c r="H103" s="141" t="s">
        <v>182</v>
      </c>
      <c r="I103" s="141">
        <v>0.06</v>
      </c>
      <c r="J103" s="141">
        <v>0.04</v>
      </c>
      <c r="L103" s="143"/>
    </row>
    <row r="104" spans="1:12" ht="10.5" customHeight="1" x14ac:dyDescent="0.15">
      <c r="A104" s="143" t="s">
        <v>483</v>
      </c>
      <c r="B104" s="112">
        <v>11</v>
      </c>
      <c r="C104" s="141">
        <v>1.04</v>
      </c>
      <c r="D104" s="141">
        <v>1.28</v>
      </c>
      <c r="E104" s="141">
        <v>0.44</v>
      </c>
      <c r="F104" s="141">
        <v>0.47</v>
      </c>
      <c r="G104" s="141">
        <v>0.08</v>
      </c>
      <c r="H104" s="141" t="s">
        <v>182</v>
      </c>
      <c r="I104" s="141">
        <v>0.05</v>
      </c>
      <c r="J104" s="141">
        <v>0.05</v>
      </c>
      <c r="L104" s="143"/>
    </row>
    <row r="105" spans="1:12" ht="10.5" customHeight="1" x14ac:dyDescent="0.15">
      <c r="A105" s="143" t="s">
        <v>484</v>
      </c>
      <c r="B105" s="112">
        <v>19.8</v>
      </c>
      <c r="C105" s="141">
        <v>1.97</v>
      </c>
      <c r="D105" s="141">
        <v>2.4700000000000002</v>
      </c>
      <c r="E105" s="141">
        <v>0.84</v>
      </c>
      <c r="F105" s="141">
        <v>0.88</v>
      </c>
      <c r="G105" s="141">
        <v>0.14000000000000001</v>
      </c>
      <c r="H105" s="141" t="s">
        <v>182</v>
      </c>
      <c r="I105" s="141">
        <v>0.11</v>
      </c>
      <c r="J105" s="141">
        <v>0.1</v>
      </c>
      <c r="L105" s="143"/>
    </row>
    <row r="106" spans="1:12" ht="10.5" customHeight="1" x14ac:dyDescent="0.15">
      <c r="A106" s="143" t="s">
        <v>485</v>
      </c>
      <c r="B106" s="112">
        <v>10.6</v>
      </c>
      <c r="C106" s="141">
        <v>1.19</v>
      </c>
      <c r="D106" s="141">
        <v>1.44</v>
      </c>
      <c r="E106" s="141">
        <v>0.49</v>
      </c>
      <c r="F106" s="141">
        <v>0.52</v>
      </c>
      <c r="G106" s="141">
        <v>0.13</v>
      </c>
      <c r="H106" s="141" t="s">
        <v>182</v>
      </c>
      <c r="I106" s="141">
        <v>0.05</v>
      </c>
      <c r="J106" s="141">
        <v>0.05</v>
      </c>
      <c r="L106" s="115"/>
    </row>
    <row r="107" spans="1:12" ht="10.5" customHeight="1" x14ac:dyDescent="0.15">
      <c r="A107" s="143" t="s">
        <v>486</v>
      </c>
      <c r="B107" s="112">
        <v>14.2</v>
      </c>
      <c r="C107" s="141">
        <v>1.85</v>
      </c>
      <c r="D107" s="141">
        <v>2.1800000000000002</v>
      </c>
      <c r="E107" s="141">
        <v>0.74</v>
      </c>
      <c r="F107" s="141">
        <v>0.89</v>
      </c>
      <c r="G107" s="141">
        <v>0.12</v>
      </c>
      <c r="H107" s="141" t="s">
        <v>182</v>
      </c>
      <c r="I107" s="141">
        <v>0.1</v>
      </c>
      <c r="J107" s="141">
        <v>0.04</v>
      </c>
      <c r="L107" s="143"/>
    </row>
    <row r="108" spans="1:12" ht="10.5" customHeight="1" x14ac:dyDescent="0.15">
      <c r="A108" s="118"/>
      <c r="B108" s="112"/>
      <c r="C108" s="141"/>
      <c r="D108" s="141"/>
      <c r="E108" s="141"/>
      <c r="F108" s="141"/>
      <c r="G108" s="141"/>
      <c r="H108" s="141"/>
      <c r="I108" s="141"/>
      <c r="J108" s="141"/>
      <c r="L108" s="143"/>
    </row>
    <row r="109" spans="1:12" ht="10.5" customHeight="1" x14ac:dyDescent="0.15">
      <c r="A109" s="149" t="s">
        <v>487</v>
      </c>
      <c r="B109" s="112"/>
      <c r="C109" s="141"/>
      <c r="D109" s="141"/>
      <c r="E109" s="141"/>
      <c r="F109" s="141"/>
      <c r="G109" s="141"/>
      <c r="H109" s="141"/>
      <c r="I109" s="141"/>
      <c r="J109" s="141"/>
      <c r="L109" s="92"/>
    </row>
    <row r="110" spans="1:12" ht="10.5" customHeight="1" x14ac:dyDescent="0.15">
      <c r="A110" s="143" t="s">
        <v>488</v>
      </c>
      <c r="B110" s="112">
        <v>16.600000000000001</v>
      </c>
      <c r="C110" s="141">
        <v>1.33</v>
      </c>
      <c r="D110" s="141">
        <v>1.5</v>
      </c>
      <c r="E110" s="141">
        <v>0.51</v>
      </c>
      <c r="F110" s="141">
        <v>0.62</v>
      </c>
      <c r="G110" s="141">
        <v>0.13</v>
      </c>
      <c r="H110" s="141">
        <v>0.01</v>
      </c>
      <c r="I110" s="141">
        <v>7.0000000000000007E-2</v>
      </c>
      <c r="J110" s="141">
        <v>0.06</v>
      </c>
      <c r="L110" s="115"/>
    </row>
    <row r="111" spans="1:12" ht="10.5" customHeight="1" x14ac:dyDescent="0.15">
      <c r="A111" s="143" t="s">
        <v>489</v>
      </c>
      <c r="B111" s="112">
        <v>12.9</v>
      </c>
      <c r="C111" s="141">
        <v>1.04</v>
      </c>
      <c r="D111" s="141">
        <v>1.33</v>
      </c>
      <c r="E111" s="141">
        <v>0.46</v>
      </c>
      <c r="F111" s="141">
        <v>0.46</v>
      </c>
      <c r="G111" s="141">
        <v>0.08</v>
      </c>
      <c r="H111" s="141">
        <v>0.01</v>
      </c>
      <c r="I111" s="141">
        <v>0.04</v>
      </c>
      <c r="J111" s="141">
        <v>0.05</v>
      </c>
      <c r="L111" s="143"/>
    </row>
    <row r="112" spans="1:12" ht="10.5" customHeight="1" x14ac:dyDescent="0.15">
      <c r="A112" s="143" t="s">
        <v>490</v>
      </c>
      <c r="B112" s="112">
        <v>81.5</v>
      </c>
      <c r="C112" s="141">
        <v>8.18</v>
      </c>
      <c r="D112" s="141">
        <v>9.91</v>
      </c>
      <c r="E112" s="141">
        <v>3.38</v>
      </c>
      <c r="F112" s="141">
        <v>3.72</v>
      </c>
      <c r="G112" s="141">
        <v>0.66</v>
      </c>
      <c r="H112" s="141">
        <v>0.01</v>
      </c>
      <c r="I112" s="141">
        <v>0.42</v>
      </c>
      <c r="J112" s="141">
        <v>0.32</v>
      </c>
      <c r="L112" s="144"/>
    </row>
    <row r="113" spans="1:12" ht="10.5" customHeight="1" x14ac:dyDescent="0.15">
      <c r="A113" s="143"/>
      <c r="B113" s="112"/>
      <c r="C113" s="141"/>
      <c r="D113" s="141"/>
      <c r="E113" s="141"/>
      <c r="F113" s="141"/>
      <c r="G113" s="141"/>
      <c r="H113" s="141"/>
      <c r="I113" s="141"/>
      <c r="J113" s="141"/>
      <c r="L113" s="144"/>
    </row>
    <row r="114" spans="1:12" ht="14.25" customHeight="1" x14ac:dyDescent="0.15">
      <c r="A114" s="115" t="s">
        <v>519</v>
      </c>
      <c r="B114" s="112"/>
      <c r="C114" s="141"/>
      <c r="D114" s="141"/>
      <c r="E114" s="141"/>
      <c r="F114" s="141"/>
      <c r="G114" s="141"/>
      <c r="H114" s="141"/>
      <c r="I114" s="141"/>
      <c r="J114" s="141"/>
      <c r="L114" s="143"/>
    </row>
    <row r="115" spans="1:12" ht="10.5" customHeight="1" x14ac:dyDescent="0.15">
      <c r="A115" s="143" t="s">
        <v>492</v>
      </c>
      <c r="B115" s="112">
        <v>38.6</v>
      </c>
      <c r="C115" s="141">
        <v>3.21</v>
      </c>
      <c r="D115" s="141">
        <v>3.73</v>
      </c>
      <c r="E115" s="141">
        <v>1.27</v>
      </c>
      <c r="F115" s="141">
        <v>1.47</v>
      </c>
      <c r="G115" s="141">
        <v>0.31</v>
      </c>
      <c r="H115" s="141">
        <v>0.01</v>
      </c>
      <c r="I115" s="141">
        <v>0.14000000000000001</v>
      </c>
      <c r="J115" s="141">
        <v>0.13</v>
      </c>
      <c r="L115" s="144"/>
    </row>
    <row r="116" spans="1:12" ht="10.5" customHeight="1" x14ac:dyDescent="0.15">
      <c r="A116" s="143" t="s">
        <v>493</v>
      </c>
      <c r="B116" s="112">
        <v>72.5</v>
      </c>
      <c r="C116" s="141">
        <v>7.34</v>
      </c>
      <c r="D116" s="141">
        <v>9.02</v>
      </c>
      <c r="E116" s="141">
        <v>3.08</v>
      </c>
      <c r="F116" s="141">
        <v>3.32</v>
      </c>
      <c r="G116" s="141">
        <v>0.55000000000000004</v>
      </c>
      <c r="H116" s="141" t="s">
        <v>409</v>
      </c>
      <c r="I116" s="141">
        <v>0.39</v>
      </c>
      <c r="J116" s="141">
        <v>0.28999999999999998</v>
      </c>
      <c r="L116" s="144"/>
    </row>
    <row r="117" spans="1:12" ht="10.5" customHeight="1" x14ac:dyDescent="0.15">
      <c r="A117" s="143"/>
      <c r="B117" s="112"/>
      <c r="C117" s="141"/>
      <c r="D117" s="141"/>
      <c r="E117" s="141"/>
      <c r="F117" s="141"/>
      <c r="G117" s="141"/>
      <c r="H117" s="141"/>
      <c r="I117" s="141"/>
      <c r="J117" s="141"/>
      <c r="L117" s="143"/>
    </row>
    <row r="118" spans="1:12" ht="10.5" customHeight="1" x14ac:dyDescent="0.15">
      <c r="A118" s="145" t="s">
        <v>494</v>
      </c>
      <c r="B118" s="112"/>
      <c r="C118" s="141"/>
      <c r="D118" s="141"/>
      <c r="E118" s="141"/>
      <c r="F118" s="141"/>
      <c r="G118" s="141"/>
      <c r="H118" s="141"/>
      <c r="I118" s="141"/>
      <c r="J118" s="141"/>
      <c r="L118" s="143"/>
    </row>
    <row r="119" spans="1:12" ht="10.5" customHeight="1" x14ac:dyDescent="0.15">
      <c r="A119" s="143" t="s">
        <v>495</v>
      </c>
      <c r="B119" s="112">
        <v>97.5</v>
      </c>
      <c r="C119" s="141">
        <v>9.49</v>
      </c>
      <c r="D119" s="141">
        <v>11.75</v>
      </c>
      <c r="E119" s="141">
        <v>4.01</v>
      </c>
      <c r="F119" s="141">
        <v>4.2699999999999996</v>
      </c>
      <c r="G119" s="141">
        <v>0.71</v>
      </c>
      <c r="H119" s="141">
        <v>0.02</v>
      </c>
      <c r="I119" s="141">
        <v>0.49</v>
      </c>
      <c r="J119" s="141">
        <v>0.42</v>
      </c>
      <c r="L119" s="143"/>
    </row>
    <row r="120" spans="1:12" ht="10.5" customHeight="1" x14ac:dyDescent="0.15">
      <c r="A120" s="143" t="s">
        <v>496</v>
      </c>
      <c r="B120" s="112">
        <v>7.6</v>
      </c>
      <c r="C120" s="141">
        <v>0.57999999999999996</v>
      </c>
      <c r="D120" s="141">
        <v>0.5</v>
      </c>
      <c r="E120" s="141">
        <v>0.17</v>
      </c>
      <c r="F120" s="141">
        <v>0.28999999999999998</v>
      </c>
      <c r="G120" s="141">
        <v>0.1</v>
      </c>
      <c r="H120" s="141" t="s">
        <v>182</v>
      </c>
      <c r="I120" s="141">
        <v>0.02</v>
      </c>
      <c r="J120" s="141" t="s">
        <v>182</v>
      </c>
      <c r="L120" s="143"/>
    </row>
    <row r="121" spans="1:12" ht="10.5" customHeight="1" x14ac:dyDescent="0.15">
      <c r="A121" s="143" t="s">
        <v>497</v>
      </c>
      <c r="B121" s="112">
        <v>4.7</v>
      </c>
      <c r="C121" s="141">
        <v>0.35</v>
      </c>
      <c r="D121" s="141">
        <v>0.33</v>
      </c>
      <c r="E121" s="141">
        <v>0.11</v>
      </c>
      <c r="F121" s="141">
        <v>0.18</v>
      </c>
      <c r="G121" s="141">
        <v>0.05</v>
      </c>
      <c r="H121" s="141" t="s">
        <v>182</v>
      </c>
      <c r="I121" s="141" t="s">
        <v>182</v>
      </c>
      <c r="J121" s="141" t="s">
        <v>182</v>
      </c>
    </row>
    <row r="122" spans="1:12" ht="10.5" customHeight="1" x14ac:dyDescent="0.15">
      <c r="A122" s="143" t="s">
        <v>498</v>
      </c>
      <c r="B122" s="112">
        <v>1.3</v>
      </c>
      <c r="C122" s="141">
        <v>0.12</v>
      </c>
      <c r="D122" s="141">
        <v>0.17</v>
      </c>
      <c r="E122" s="141">
        <v>0.06</v>
      </c>
      <c r="F122" s="141">
        <v>0.05</v>
      </c>
      <c r="G122" s="141" t="s">
        <v>182</v>
      </c>
      <c r="H122" s="141" t="s">
        <v>419</v>
      </c>
      <c r="I122" s="141" t="s">
        <v>182</v>
      </c>
      <c r="J122" s="141" t="s">
        <v>182</v>
      </c>
    </row>
    <row r="123" spans="1:12" ht="10.5" customHeight="1" x14ac:dyDescent="0.15">
      <c r="A123" s="143"/>
      <c r="B123" s="112"/>
      <c r="C123" s="141"/>
      <c r="D123" s="141"/>
      <c r="E123" s="141"/>
      <c r="F123" s="141"/>
      <c r="G123" s="141"/>
      <c r="H123" s="141"/>
      <c r="I123" s="141"/>
      <c r="J123" s="141"/>
    </row>
    <row r="124" spans="1:12" ht="10.5" customHeight="1" x14ac:dyDescent="0.15">
      <c r="A124" s="115" t="s">
        <v>499</v>
      </c>
      <c r="B124" s="112"/>
      <c r="C124" s="141"/>
      <c r="D124" s="141"/>
      <c r="E124" s="141"/>
      <c r="F124" s="141"/>
      <c r="G124" s="141"/>
      <c r="H124" s="141"/>
      <c r="I124" s="141"/>
      <c r="J124" s="141"/>
    </row>
    <row r="125" spans="1:12" ht="10.5" customHeight="1" x14ac:dyDescent="0.15">
      <c r="A125" s="143" t="s">
        <v>500</v>
      </c>
      <c r="B125" s="112">
        <v>14.8</v>
      </c>
      <c r="C125" s="141">
        <v>1.19</v>
      </c>
      <c r="D125" s="141">
        <v>1.43</v>
      </c>
      <c r="E125" s="141">
        <v>0.49</v>
      </c>
      <c r="F125" s="141">
        <v>0.55000000000000004</v>
      </c>
      <c r="G125" s="141">
        <v>0.11</v>
      </c>
      <c r="H125" s="141" t="s">
        <v>182</v>
      </c>
      <c r="I125" s="141">
        <v>0.05</v>
      </c>
      <c r="J125" s="141">
        <v>0.03</v>
      </c>
    </row>
    <row r="126" spans="1:12" ht="10.5" customHeight="1" x14ac:dyDescent="0.15">
      <c r="A126" s="143" t="s">
        <v>501</v>
      </c>
      <c r="B126" s="112">
        <v>96.3</v>
      </c>
      <c r="C126" s="141">
        <v>9.36</v>
      </c>
      <c r="D126" s="141">
        <v>11.32</v>
      </c>
      <c r="E126" s="141">
        <v>3.86</v>
      </c>
      <c r="F126" s="141">
        <v>4.24</v>
      </c>
      <c r="G126" s="141">
        <v>0.76</v>
      </c>
      <c r="H126" s="141">
        <v>0.02</v>
      </c>
      <c r="I126" s="141">
        <v>0.48</v>
      </c>
      <c r="J126" s="141">
        <v>0.4</v>
      </c>
    </row>
    <row r="127" spans="1:12" ht="10.5" customHeight="1" x14ac:dyDescent="0.15">
      <c r="A127" s="92"/>
      <c r="B127" s="112"/>
      <c r="C127" s="141"/>
      <c r="D127" s="141"/>
      <c r="E127" s="141"/>
      <c r="F127" s="141"/>
      <c r="G127" s="141"/>
      <c r="H127" s="141"/>
      <c r="I127" s="141"/>
      <c r="J127" s="141"/>
    </row>
    <row r="128" spans="1:12" ht="14.25" customHeight="1" x14ac:dyDescent="0.15">
      <c r="A128" s="115" t="s">
        <v>520</v>
      </c>
      <c r="B128" s="112"/>
      <c r="C128" s="141"/>
      <c r="D128" s="141"/>
      <c r="E128" s="141"/>
      <c r="F128" s="141"/>
      <c r="G128" s="141"/>
      <c r="H128" s="141"/>
      <c r="I128" s="141"/>
      <c r="J128" s="141"/>
    </row>
    <row r="129" spans="1:13" ht="10.5" customHeight="1" x14ac:dyDescent="0.15">
      <c r="A129" s="143" t="s">
        <v>503</v>
      </c>
      <c r="B129" s="112">
        <v>79.099999999999994</v>
      </c>
      <c r="C129" s="141">
        <v>7.77</v>
      </c>
      <c r="D129" s="141">
        <v>9.4499999999999993</v>
      </c>
      <c r="E129" s="141">
        <v>3.22</v>
      </c>
      <c r="F129" s="141">
        <v>3.42</v>
      </c>
      <c r="G129" s="141">
        <v>0.67</v>
      </c>
      <c r="H129" s="141">
        <v>0.01</v>
      </c>
      <c r="I129" s="141">
        <v>0.44</v>
      </c>
      <c r="J129" s="141">
        <v>0.37</v>
      </c>
    </row>
    <row r="130" spans="1:13" ht="10.5" customHeight="1" x14ac:dyDescent="0.15">
      <c r="A130" s="144" t="s">
        <v>504</v>
      </c>
      <c r="B130" s="112">
        <v>5</v>
      </c>
      <c r="C130" s="141">
        <v>0.37</v>
      </c>
      <c r="D130" s="141">
        <v>0.49</v>
      </c>
      <c r="E130" s="141">
        <v>0.17</v>
      </c>
      <c r="F130" s="141">
        <v>0.15</v>
      </c>
      <c r="G130" s="141">
        <v>0.02</v>
      </c>
      <c r="H130" s="141" t="s">
        <v>182</v>
      </c>
      <c r="I130" s="141">
        <v>0.02</v>
      </c>
      <c r="J130" s="141">
        <v>0.01</v>
      </c>
    </row>
    <row r="131" spans="1:13" ht="10.5" customHeight="1" x14ac:dyDescent="0.15">
      <c r="A131" s="144" t="s">
        <v>505</v>
      </c>
      <c r="B131" s="112">
        <v>74.099999999999994</v>
      </c>
      <c r="C131" s="141">
        <v>7.4</v>
      </c>
      <c r="D131" s="141">
        <v>8.9600000000000009</v>
      </c>
      <c r="E131" s="141">
        <v>3.06</v>
      </c>
      <c r="F131" s="141">
        <v>3.27</v>
      </c>
      <c r="G131" s="141">
        <v>0.65</v>
      </c>
      <c r="H131" s="141">
        <v>0.01</v>
      </c>
      <c r="I131" s="141">
        <v>0.42</v>
      </c>
      <c r="J131" s="141">
        <v>0.36</v>
      </c>
    </row>
    <row r="132" spans="1:13" ht="10.5" customHeight="1" x14ac:dyDescent="0.15">
      <c r="A132" s="143" t="s">
        <v>506</v>
      </c>
      <c r="B132" s="112">
        <v>13.4</v>
      </c>
      <c r="C132" s="141">
        <v>1.24</v>
      </c>
      <c r="D132" s="141">
        <v>1.48</v>
      </c>
      <c r="E132" s="141">
        <v>0.51</v>
      </c>
      <c r="F132" s="141">
        <v>0.62</v>
      </c>
      <c r="G132" s="141">
        <v>7.0000000000000007E-2</v>
      </c>
      <c r="H132" s="141" t="s">
        <v>409</v>
      </c>
      <c r="I132" s="141">
        <v>0.04</v>
      </c>
      <c r="J132" s="141">
        <v>0.02</v>
      </c>
    </row>
    <row r="133" spans="1:13" ht="10.5" customHeight="1" x14ac:dyDescent="0.15">
      <c r="A133" s="144" t="s">
        <v>504</v>
      </c>
      <c r="B133" s="112">
        <v>0.3</v>
      </c>
      <c r="C133" s="141">
        <v>0.03</v>
      </c>
      <c r="D133" s="141">
        <v>0.03</v>
      </c>
      <c r="E133" s="141">
        <v>0.01</v>
      </c>
      <c r="F133" s="141">
        <v>0.01</v>
      </c>
      <c r="G133" s="141" t="s">
        <v>182</v>
      </c>
      <c r="H133" s="141" t="s">
        <v>419</v>
      </c>
      <c r="I133" s="141" t="s">
        <v>182</v>
      </c>
      <c r="J133" s="141" t="s">
        <v>182</v>
      </c>
    </row>
    <row r="134" spans="1:13" ht="10.5" customHeight="1" x14ac:dyDescent="0.15">
      <c r="A134" s="144" t="s">
        <v>505</v>
      </c>
      <c r="B134" s="112">
        <v>13.1</v>
      </c>
      <c r="C134" s="141">
        <v>1.21</v>
      </c>
      <c r="D134" s="141">
        <v>1.45</v>
      </c>
      <c r="E134" s="141">
        <v>0.5</v>
      </c>
      <c r="F134" s="141">
        <v>0.61</v>
      </c>
      <c r="G134" s="141">
        <v>7.0000000000000007E-2</v>
      </c>
      <c r="H134" s="141" t="s">
        <v>409</v>
      </c>
      <c r="I134" s="141">
        <v>0.03</v>
      </c>
      <c r="J134" s="141">
        <v>0.02</v>
      </c>
    </row>
    <row r="135" spans="1:13" ht="10.5" customHeight="1" x14ac:dyDescent="0.15">
      <c r="A135" s="143" t="s">
        <v>507</v>
      </c>
      <c r="B135" s="112">
        <v>3.3</v>
      </c>
      <c r="C135" s="141">
        <v>0.25</v>
      </c>
      <c r="D135" s="141">
        <v>0.28000000000000003</v>
      </c>
      <c r="E135" s="141">
        <v>0.1</v>
      </c>
      <c r="F135" s="141">
        <v>0.14000000000000001</v>
      </c>
      <c r="G135" s="141" t="s">
        <v>182</v>
      </c>
      <c r="H135" s="141" t="s">
        <v>419</v>
      </c>
      <c r="I135" s="141" t="s">
        <v>182</v>
      </c>
      <c r="J135" s="141" t="s">
        <v>182</v>
      </c>
    </row>
    <row r="136" spans="1:13" ht="10.5" customHeight="1" x14ac:dyDescent="0.15">
      <c r="A136" s="143" t="s">
        <v>508</v>
      </c>
      <c r="B136" s="112">
        <v>1.3</v>
      </c>
      <c r="C136" s="141">
        <v>0.11</v>
      </c>
      <c r="D136" s="141">
        <v>0.15</v>
      </c>
      <c r="E136" s="141">
        <v>0.05</v>
      </c>
      <c r="F136" s="141">
        <v>0.05</v>
      </c>
      <c r="G136" s="141" t="s">
        <v>182</v>
      </c>
      <c r="H136" s="141" t="s">
        <v>182</v>
      </c>
      <c r="I136" s="141" t="s">
        <v>182</v>
      </c>
      <c r="J136" s="141" t="s">
        <v>182</v>
      </c>
    </row>
    <row r="137" spans="1:13" ht="10.5" customHeight="1" x14ac:dyDescent="0.15">
      <c r="A137" s="143" t="s">
        <v>37</v>
      </c>
      <c r="B137" s="112">
        <v>7.1</v>
      </c>
      <c r="C137" s="141">
        <v>0.61</v>
      </c>
      <c r="D137" s="141">
        <v>0.72</v>
      </c>
      <c r="E137" s="141">
        <v>0.25</v>
      </c>
      <c r="F137" s="141">
        <v>0.28000000000000003</v>
      </c>
      <c r="G137" s="141">
        <v>0.05</v>
      </c>
      <c r="H137" s="141" t="s">
        <v>182</v>
      </c>
      <c r="I137" s="141">
        <v>0.03</v>
      </c>
      <c r="J137" s="141">
        <v>0.01</v>
      </c>
    </row>
    <row r="138" spans="1:13" ht="10.5" customHeight="1" x14ac:dyDescent="0.15">
      <c r="A138" s="143" t="s">
        <v>509</v>
      </c>
      <c r="B138" s="112">
        <v>6.9</v>
      </c>
      <c r="C138" s="141">
        <v>0.56999999999999995</v>
      </c>
      <c r="D138" s="141">
        <v>0.67</v>
      </c>
      <c r="E138" s="141">
        <v>0.23</v>
      </c>
      <c r="F138" s="141">
        <v>0.27</v>
      </c>
      <c r="G138" s="141">
        <v>0.06</v>
      </c>
      <c r="H138" s="141" t="s">
        <v>419</v>
      </c>
      <c r="I138" s="141">
        <v>0.01</v>
      </c>
      <c r="J138" s="141">
        <v>0.01</v>
      </c>
    </row>
    <row r="139" spans="1:13" ht="10.5" customHeight="1" x14ac:dyDescent="0.15">
      <c r="A139" s="143"/>
      <c r="B139" s="153"/>
      <c r="C139" s="140"/>
      <c r="D139" s="140"/>
      <c r="E139" s="140"/>
      <c r="F139" s="140"/>
      <c r="G139" s="140"/>
      <c r="H139" s="140"/>
      <c r="I139" s="140"/>
      <c r="J139" s="140"/>
    </row>
    <row r="140" spans="1:13" ht="12.75" customHeight="1" x14ac:dyDescent="0.15">
      <c r="A140" s="1381" t="s">
        <v>510</v>
      </c>
      <c r="B140" s="1381"/>
      <c r="C140" s="1381"/>
      <c r="D140" s="1381"/>
      <c r="E140" s="1381"/>
      <c r="F140" s="1381"/>
      <c r="G140" s="1381"/>
      <c r="H140" s="1381"/>
      <c r="I140" s="1356"/>
      <c r="J140" s="1356"/>
      <c r="M140" s="163"/>
    </row>
    <row r="141" spans="1:13" x14ac:dyDescent="0.15">
      <c r="A141" s="1382"/>
      <c r="B141" s="1382"/>
      <c r="C141" s="1382"/>
      <c r="D141" s="1382"/>
      <c r="E141" s="1382"/>
      <c r="F141" s="1382"/>
      <c r="G141" s="1382"/>
      <c r="H141" s="1382"/>
      <c r="I141" s="1379"/>
      <c r="J141" s="1379"/>
    </row>
    <row r="142" spans="1:13" x14ac:dyDescent="0.15">
      <c r="A142" s="1382"/>
      <c r="B142" s="1382"/>
      <c r="C142" s="1382"/>
      <c r="D142" s="1382"/>
      <c r="E142" s="1382"/>
      <c r="F142" s="1382"/>
      <c r="G142" s="1382"/>
      <c r="H142" s="1382"/>
      <c r="I142" s="1379"/>
      <c r="J142" s="1379"/>
    </row>
    <row r="143" spans="1:13" x14ac:dyDescent="0.15">
      <c r="A143" s="1382"/>
      <c r="B143" s="1382"/>
      <c r="C143" s="1382"/>
      <c r="D143" s="1382"/>
      <c r="E143" s="1382"/>
      <c r="F143" s="1382"/>
      <c r="G143" s="1382"/>
      <c r="H143" s="1382"/>
      <c r="I143" s="1379"/>
      <c r="J143" s="1379"/>
    </row>
    <row r="144" spans="1:13" x14ac:dyDescent="0.15">
      <c r="A144" s="1382"/>
      <c r="B144" s="1382"/>
      <c r="C144" s="1382"/>
      <c r="D144" s="1382"/>
      <c r="E144" s="1382"/>
      <c r="F144" s="1382"/>
      <c r="G144" s="1382"/>
      <c r="H144" s="1382"/>
      <c r="I144" s="1379"/>
      <c r="J144" s="1379"/>
    </row>
    <row r="145" spans="1:10" x14ac:dyDescent="0.15">
      <c r="A145" s="1382"/>
      <c r="B145" s="1382"/>
      <c r="C145" s="1382"/>
      <c r="D145" s="1382"/>
      <c r="E145" s="1382"/>
      <c r="F145" s="1382"/>
      <c r="G145" s="1382"/>
      <c r="H145" s="1382"/>
      <c r="I145" s="1379"/>
      <c r="J145" s="1379"/>
    </row>
    <row r="146" spans="1:10" x14ac:dyDescent="0.15">
      <c r="A146" s="1382"/>
      <c r="B146" s="1382"/>
      <c r="C146" s="1382"/>
      <c r="D146" s="1382"/>
      <c r="E146" s="1382"/>
      <c r="F146" s="1382"/>
      <c r="G146" s="1382"/>
      <c r="H146" s="1382"/>
      <c r="I146" s="1379"/>
      <c r="J146" s="1379"/>
    </row>
    <row r="147" spans="1:10" x14ac:dyDescent="0.15">
      <c r="A147" s="1382"/>
      <c r="B147" s="1382"/>
      <c r="C147" s="1382"/>
      <c r="D147" s="1382"/>
      <c r="E147" s="1382"/>
      <c r="F147" s="1382"/>
      <c r="G147" s="1382"/>
      <c r="H147" s="1382"/>
      <c r="I147" s="1379"/>
      <c r="J147" s="1379"/>
    </row>
    <row r="148" spans="1:10" x14ac:dyDescent="0.15">
      <c r="A148" s="1382"/>
      <c r="B148" s="1382"/>
      <c r="C148" s="1382"/>
      <c r="D148" s="1382"/>
      <c r="E148" s="1382"/>
      <c r="F148" s="1382"/>
      <c r="G148" s="1382"/>
      <c r="H148" s="1382"/>
      <c r="I148" s="1379"/>
      <c r="J148" s="1379"/>
    </row>
    <row r="149" spans="1:10" x14ac:dyDescent="0.15">
      <c r="A149" s="1382"/>
      <c r="B149" s="1382"/>
      <c r="C149" s="1382"/>
      <c r="D149" s="1382"/>
      <c r="E149" s="1382"/>
      <c r="F149" s="1382"/>
      <c r="G149" s="1382"/>
      <c r="H149" s="1382"/>
      <c r="I149" s="1379"/>
      <c r="J149" s="1379"/>
    </row>
    <row r="150" spans="1:10" x14ac:dyDescent="0.15">
      <c r="A150" s="1382"/>
      <c r="B150" s="1382"/>
      <c r="C150" s="1382"/>
      <c r="D150" s="1382"/>
      <c r="E150" s="1382"/>
      <c r="F150" s="1382"/>
      <c r="G150" s="1382"/>
      <c r="H150" s="1382"/>
      <c r="I150" s="1379"/>
      <c r="J150" s="1379"/>
    </row>
    <row r="151" spans="1:10" x14ac:dyDescent="0.15">
      <c r="A151" s="1382"/>
      <c r="B151" s="1382"/>
      <c r="C151" s="1382"/>
      <c r="D151" s="1382"/>
      <c r="E151" s="1382"/>
      <c r="F151" s="1382"/>
      <c r="G151" s="1382"/>
      <c r="H151" s="1382"/>
      <c r="I151" s="1379"/>
      <c r="J151" s="1379"/>
    </row>
    <row r="152" spans="1:10" x14ac:dyDescent="0.15">
      <c r="A152" s="1382"/>
      <c r="B152" s="1382"/>
      <c r="C152" s="1382"/>
      <c r="D152" s="1382"/>
      <c r="E152" s="1382"/>
      <c r="F152" s="1382"/>
      <c r="G152" s="1382"/>
      <c r="H152" s="1382"/>
      <c r="I152" s="1379"/>
      <c r="J152" s="1379"/>
    </row>
    <row r="153" spans="1:10" x14ac:dyDescent="0.15">
      <c r="A153" s="1382"/>
      <c r="B153" s="1382"/>
      <c r="C153" s="1382"/>
      <c r="D153" s="1382"/>
      <c r="E153" s="1382"/>
      <c r="F153" s="1382"/>
      <c r="G153" s="1382"/>
      <c r="H153" s="1382"/>
      <c r="I153" s="1379"/>
      <c r="J153" s="1379"/>
    </row>
    <row r="154" spans="1:10" x14ac:dyDescent="0.15">
      <c r="A154" s="1382"/>
      <c r="B154" s="1382"/>
      <c r="C154" s="1382"/>
      <c r="D154" s="1382"/>
      <c r="E154" s="1382"/>
      <c r="F154" s="1382"/>
      <c r="G154" s="1382"/>
      <c r="H154" s="1382"/>
      <c r="I154" s="1379"/>
      <c r="J154" s="1379"/>
    </row>
    <row r="155" spans="1:10" x14ac:dyDescent="0.15">
      <c r="A155" s="1382"/>
      <c r="B155" s="1382"/>
      <c r="C155" s="1382"/>
      <c r="D155" s="1382"/>
      <c r="E155" s="1382"/>
      <c r="F155" s="1382"/>
      <c r="G155" s="1382"/>
      <c r="H155" s="1382"/>
      <c r="I155" s="1379"/>
      <c r="J155" s="1379"/>
    </row>
    <row r="156" spans="1:10" x14ac:dyDescent="0.15">
      <c r="A156" s="1382"/>
      <c r="B156" s="1382"/>
      <c r="C156" s="1382"/>
      <c r="D156" s="1382"/>
      <c r="E156" s="1382"/>
      <c r="F156" s="1382"/>
      <c r="G156" s="1382"/>
      <c r="H156" s="1382"/>
      <c r="I156" s="1379"/>
      <c r="J156" s="1379"/>
    </row>
    <row r="157" spans="1:10" x14ac:dyDescent="0.15">
      <c r="A157" s="1382"/>
      <c r="B157" s="1382"/>
      <c r="C157" s="1382"/>
      <c r="D157" s="1382"/>
      <c r="E157" s="1382"/>
      <c r="F157" s="1382"/>
      <c r="G157" s="1382"/>
      <c r="H157" s="1382"/>
      <c r="I157" s="1379"/>
      <c r="J157" s="1379"/>
    </row>
    <row r="158" spans="1:10" x14ac:dyDescent="0.15">
      <c r="A158" s="1382"/>
      <c r="B158" s="1382"/>
      <c r="C158" s="1382"/>
      <c r="D158" s="1382"/>
      <c r="E158" s="1382"/>
      <c r="F158" s="1382"/>
      <c r="G158" s="1382"/>
      <c r="H158" s="1382"/>
      <c r="I158" s="1379"/>
      <c r="J158" s="1379"/>
    </row>
    <row r="159" spans="1:10" x14ac:dyDescent="0.15">
      <c r="A159" s="154"/>
      <c r="B159" s="155"/>
      <c r="C159" s="156"/>
      <c r="D159" s="156"/>
      <c r="E159" s="156"/>
      <c r="F159" s="156"/>
      <c r="G159" s="156"/>
      <c r="H159" s="156"/>
      <c r="I159" s="164"/>
      <c r="J159" s="164"/>
    </row>
    <row r="160" spans="1:10" x14ac:dyDescent="0.15">
      <c r="A160" s="154"/>
      <c r="B160" s="155"/>
      <c r="C160" s="156"/>
      <c r="D160" s="156"/>
      <c r="E160" s="156"/>
      <c r="F160" s="156"/>
      <c r="G160" s="156"/>
      <c r="H160" s="156"/>
      <c r="I160" s="164"/>
      <c r="J160" s="164"/>
    </row>
    <row r="161" spans="1:10" x14ac:dyDescent="0.15">
      <c r="A161" s="154"/>
      <c r="B161" s="155"/>
      <c r="C161" s="156"/>
      <c r="D161" s="156"/>
      <c r="E161" s="156"/>
      <c r="F161" s="156"/>
      <c r="G161" s="156"/>
      <c r="H161" s="156"/>
      <c r="I161" s="164"/>
      <c r="J161" s="164"/>
    </row>
    <row r="162" spans="1:10" x14ac:dyDescent="0.15">
      <c r="A162" s="154"/>
      <c r="B162" s="155"/>
      <c r="C162" s="156"/>
      <c r="D162" s="156"/>
      <c r="E162" s="156"/>
      <c r="F162" s="156"/>
      <c r="G162" s="156"/>
      <c r="H162" s="156"/>
      <c r="I162" s="164"/>
      <c r="J162" s="164"/>
    </row>
    <row r="163" spans="1:10" x14ac:dyDescent="0.15">
      <c r="A163" s="154"/>
      <c r="B163" s="155"/>
      <c r="C163" s="156"/>
      <c r="D163" s="156"/>
      <c r="E163" s="156"/>
      <c r="F163" s="156"/>
      <c r="G163" s="156"/>
      <c r="H163" s="156"/>
      <c r="I163" s="164"/>
      <c r="J163" s="164"/>
    </row>
    <row r="164" spans="1:10" x14ac:dyDescent="0.15">
      <c r="A164" s="154"/>
      <c r="B164" s="155"/>
      <c r="C164" s="156"/>
      <c r="D164" s="156"/>
      <c r="E164" s="156"/>
      <c r="F164" s="156"/>
      <c r="G164" s="156"/>
      <c r="H164" s="156"/>
    </row>
    <row r="165" spans="1:10" x14ac:dyDescent="0.15">
      <c r="A165" s="154"/>
      <c r="B165" s="155"/>
      <c r="C165" s="156"/>
      <c r="D165" s="156"/>
      <c r="E165" s="156"/>
      <c r="F165" s="156"/>
      <c r="G165" s="156"/>
      <c r="H165" s="156"/>
    </row>
    <row r="166" spans="1:10" x14ac:dyDescent="0.15">
      <c r="A166" s="154"/>
      <c r="B166" s="155"/>
      <c r="C166" s="156"/>
      <c r="D166" s="156"/>
      <c r="E166" s="156"/>
      <c r="F166" s="156"/>
      <c r="G166" s="156"/>
      <c r="H166" s="156"/>
    </row>
    <row r="167" spans="1:10" x14ac:dyDescent="0.15">
      <c r="A167" s="154"/>
      <c r="B167" s="155"/>
      <c r="C167" s="156"/>
      <c r="D167" s="156"/>
      <c r="E167" s="156"/>
      <c r="F167" s="156"/>
      <c r="G167" s="156"/>
      <c r="H167" s="156"/>
    </row>
    <row r="168" spans="1:10" x14ac:dyDescent="0.15">
      <c r="A168" s="154"/>
      <c r="B168" s="155"/>
      <c r="C168" s="156"/>
      <c r="D168" s="156"/>
      <c r="E168" s="156"/>
      <c r="F168" s="156"/>
      <c r="G168" s="156"/>
      <c r="H168" s="156"/>
    </row>
  </sheetData>
  <mergeCells count="12">
    <mergeCell ref="A140:J158"/>
    <mergeCell ref="M6:M7"/>
    <mergeCell ref="A1:J2"/>
    <mergeCell ref="C3:J4"/>
    <mergeCell ref="B4:B7"/>
    <mergeCell ref="C5:C7"/>
    <mergeCell ref="D5:E6"/>
    <mergeCell ref="F5:F7"/>
    <mergeCell ref="G5:G7"/>
    <mergeCell ref="H5:H7"/>
    <mergeCell ref="I5:I7"/>
    <mergeCell ref="J5:J7"/>
  </mergeCells>
  <printOptions horizontalCentered="1"/>
  <pageMargins left="0.75" right="0.75" top="0.5" bottom="0.25" header="0.5" footer="0.25"/>
  <pageSetup orientation="landscape" r:id="rId1"/>
  <headerFooter alignWithMargins="0">
    <oddFooter>&amp;C&amp;"Arial,Bold"&amp;8Energy Information Administration
2005 Residential Energy Consumption Survey:  Energy Consumption and Expenditures Tables</oddFooter>
  </headerFooter>
  <rowBreaks count="4" manualBreakCount="4">
    <brk id="47" max="9" man="1"/>
    <brk id="89" max="9" man="1"/>
    <brk id="123" max="9" man="1"/>
    <brk id="151"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4"/>
  <sheetViews>
    <sheetView workbookViewId="0">
      <pane ySplit="8" topLeftCell="A9" activePane="bottomLeft" state="frozen"/>
      <selection activeCell="J35" sqref="J35"/>
      <selection pane="bottomLeft" activeCell="J35" sqref="J35"/>
    </sheetView>
  </sheetViews>
  <sheetFormatPr baseColWidth="10" defaultColWidth="8.83203125" defaultRowHeight="13" x14ac:dyDescent="0.15"/>
  <cols>
    <col min="1" max="1" width="33.1640625" style="43" bestFit="1" customWidth="1"/>
    <col min="2" max="8" width="10.6640625" style="157" customWidth="1"/>
    <col min="9" max="256" width="8.83203125" style="43"/>
    <col min="257" max="257" width="33.1640625" style="43" bestFit="1" customWidth="1"/>
    <col min="258" max="264" width="10.6640625" style="43" customWidth="1"/>
    <col min="265" max="512" width="8.83203125" style="43"/>
    <col min="513" max="513" width="33.1640625" style="43" bestFit="1" customWidth="1"/>
    <col min="514" max="520" width="10.6640625" style="43" customWidth="1"/>
    <col min="521" max="768" width="8.83203125" style="43"/>
    <col min="769" max="769" width="33.1640625" style="43" bestFit="1" customWidth="1"/>
    <col min="770" max="776" width="10.6640625" style="43" customWidth="1"/>
    <col min="777" max="1024" width="8.83203125" style="43"/>
    <col min="1025" max="1025" width="33.1640625" style="43" bestFit="1" customWidth="1"/>
    <col min="1026" max="1032" width="10.6640625" style="43" customWidth="1"/>
    <col min="1033" max="1280" width="8.83203125" style="43"/>
    <col min="1281" max="1281" width="33.1640625" style="43" bestFit="1" customWidth="1"/>
    <col min="1282" max="1288" width="10.6640625" style="43" customWidth="1"/>
    <col min="1289" max="1536" width="8.83203125" style="43"/>
    <col min="1537" max="1537" width="33.1640625" style="43" bestFit="1" customWidth="1"/>
    <col min="1538" max="1544" width="10.6640625" style="43" customWidth="1"/>
    <col min="1545" max="1792" width="8.83203125" style="43"/>
    <col min="1793" max="1793" width="33.1640625" style="43" bestFit="1" customWidth="1"/>
    <col min="1794" max="1800" width="10.6640625" style="43" customWidth="1"/>
    <col min="1801" max="2048" width="8.83203125" style="43"/>
    <col min="2049" max="2049" width="33.1640625" style="43" bestFit="1" customWidth="1"/>
    <col min="2050" max="2056" width="10.6640625" style="43" customWidth="1"/>
    <col min="2057" max="2304" width="8.83203125" style="43"/>
    <col min="2305" max="2305" width="33.1640625" style="43" bestFit="1" customWidth="1"/>
    <col min="2306" max="2312" width="10.6640625" style="43" customWidth="1"/>
    <col min="2313" max="2560" width="8.83203125" style="43"/>
    <col min="2561" max="2561" width="33.1640625" style="43" bestFit="1" customWidth="1"/>
    <col min="2562" max="2568" width="10.6640625" style="43" customWidth="1"/>
    <col min="2569" max="2816" width="8.83203125" style="43"/>
    <col min="2817" max="2817" width="33.1640625" style="43" bestFit="1" customWidth="1"/>
    <col min="2818" max="2824" width="10.6640625" style="43" customWidth="1"/>
    <col min="2825" max="3072" width="8.83203125" style="43"/>
    <col min="3073" max="3073" width="33.1640625" style="43" bestFit="1" customWidth="1"/>
    <col min="3074" max="3080" width="10.6640625" style="43" customWidth="1"/>
    <col min="3081" max="3328" width="8.83203125" style="43"/>
    <col min="3329" max="3329" width="33.1640625" style="43" bestFit="1" customWidth="1"/>
    <col min="3330" max="3336" width="10.6640625" style="43" customWidth="1"/>
    <col min="3337" max="3584" width="8.83203125" style="43"/>
    <col min="3585" max="3585" width="33.1640625" style="43" bestFit="1" customWidth="1"/>
    <col min="3586" max="3592" width="10.6640625" style="43" customWidth="1"/>
    <col min="3593" max="3840" width="8.83203125" style="43"/>
    <col min="3841" max="3841" width="33.1640625" style="43" bestFit="1" customWidth="1"/>
    <col min="3842" max="3848" width="10.6640625" style="43" customWidth="1"/>
    <col min="3849" max="4096" width="8.83203125" style="43"/>
    <col min="4097" max="4097" width="33.1640625" style="43" bestFit="1" customWidth="1"/>
    <col min="4098" max="4104" width="10.6640625" style="43" customWidth="1"/>
    <col min="4105" max="4352" width="8.83203125" style="43"/>
    <col min="4353" max="4353" width="33.1640625" style="43" bestFit="1" customWidth="1"/>
    <col min="4354" max="4360" width="10.6640625" style="43" customWidth="1"/>
    <col min="4361" max="4608" width="8.83203125" style="43"/>
    <col min="4609" max="4609" width="33.1640625" style="43" bestFit="1" customWidth="1"/>
    <col min="4610" max="4616" width="10.6640625" style="43" customWidth="1"/>
    <col min="4617" max="4864" width="8.83203125" style="43"/>
    <col min="4865" max="4865" width="33.1640625" style="43" bestFit="1" customWidth="1"/>
    <col min="4866" max="4872" width="10.6640625" style="43" customWidth="1"/>
    <col min="4873" max="5120" width="8.83203125" style="43"/>
    <col min="5121" max="5121" width="33.1640625" style="43" bestFit="1" customWidth="1"/>
    <col min="5122" max="5128" width="10.6640625" style="43" customWidth="1"/>
    <col min="5129" max="5376" width="8.83203125" style="43"/>
    <col min="5377" max="5377" width="33.1640625" style="43" bestFit="1" customWidth="1"/>
    <col min="5378" max="5384" width="10.6640625" style="43" customWidth="1"/>
    <col min="5385" max="5632" width="8.83203125" style="43"/>
    <col min="5633" max="5633" width="33.1640625" style="43" bestFit="1" customWidth="1"/>
    <col min="5634" max="5640" width="10.6640625" style="43" customWidth="1"/>
    <col min="5641" max="5888" width="8.83203125" style="43"/>
    <col min="5889" max="5889" width="33.1640625" style="43" bestFit="1" customWidth="1"/>
    <col min="5890" max="5896" width="10.6640625" style="43" customWidth="1"/>
    <col min="5897" max="6144" width="8.83203125" style="43"/>
    <col min="6145" max="6145" width="33.1640625" style="43" bestFit="1" customWidth="1"/>
    <col min="6146" max="6152" width="10.6640625" style="43" customWidth="1"/>
    <col min="6153" max="6400" width="8.83203125" style="43"/>
    <col min="6401" max="6401" width="33.1640625" style="43" bestFit="1" customWidth="1"/>
    <col min="6402" max="6408" width="10.6640625" style="43" customWidth="1"/>
    <col min="6409" max="6656" width="8.83203125" style="43"/>
    <col min="6657" max="6657" width="33.1640625" style="43" bestFit="1" customWidth="1"/>
    <col min="6658" max="6664" width="10.6640625" style="43" customWidth="1"/>
    <col min="6665" max="6912" width="8.83203125" style="43"/>
    <col min="6913" max="6913" width="33.1640625" style="43" bestFit="1" customWidth="1"/>
    <col min="6914" max="6920" width="10.6640625" style="43" customWidth="1"/>
    <col min="6921" max="7168" width="8.83203125" style="43"/>
    <col min="7169" max="7169" width="33.1640625" style="43" bestFit="1" customWidth="1"/>
    <col min="7170" max="7176" width="10.6640625" style="43" customWidth="1"/>
    <col min="7177" max="7424" width="8.83203125" style="43"/>
    <col min="7425" max="7425" width="33.1640625" style="43" bestFit="1" customWidth="1"/>
    <col min="7426" max="7432" width="10.6640625" style="43" customWidth="1"/>
    <col min="7433" max="7680" width="8.83203125" style="43"/>
    <col min="7681" max="7681" width="33.1640625" style="43" bestFit="1" customWidth="1"/>
    <col min="7682" max="7688" width="10.6640625" style="43" customWidth="1"/>
    <col min="7689" max="7936" width="8.83203125" style="43"/>
    <col min="7937" max="7937" width="33.1640625" style="43" bestFit="1" customWidth="1"/>
    <col min="7938" max="7944" width="10.6640625" style="43" customWidth="1"/>
    <col min="7945" max="8192" width="8.83203125" style="43"/>
    <col min="8193" max="8193" width="33.1640625" style="43" bestFit="1" customWidth="1"/>
    <col min="8194" max="8200" width="10.6640625" style="43" customWidth="1"/>
    <col min="8201" max="8448" width="8.83203125" style="43"/>
    <col min="8449" max="8449" width="33.1640625" style="43" bestFit="1" customWidth="1"/>
    <col min="8450" max="8456" width="10.6640625" style="43" customWidth="1"/>
    <col min="8457" max="8704" width="8.83203125" style="43"/>
    <col min="8705" max="8705" width="33.1640625" style="43" bestFit="1" customWidth="1"/>
    <col min="8706" max="8712" width="10.6640625" style="43" customWidth="1"/>
    <col min="8713" max="8960" width="8.83203125" style="43"/>
    <col min="8961" max="8961" width="33.1640625" style="43" bestFit="1" customWidth="1"/>
    <col min="8962" max="8968" width="10.6640625" style="43" customWidth="1"/>
    <col min="8969" max="9216" width="8.83203125" style="43"/>
    <col min="9217" max="9217" width="33.1640625" style="43" bestFit="1" customWidth="1"/>
    <col min="9218" max="9224" width="10.6640625" style="43" customWidth="1"/>
    <col min="9225" max="9472" width="8.83203125" style="43"/>
    <col min="9473" max="9473" width="33.1640625" style="43" bestFit="1" customWidth="1"/>
    <col min="9474" max="9480" width="10.6640625" style="43" customWidth="1"/>
    <col min="9481" max="9728" width="8.83203125" style="43"/>
    <col min="9729" max="9729" width="33.1640625" style="43" bestFit="1" customWidth="1"/>
    <col min="9730" max="9736" width="10.6640625" style="43" customWidth="1"/>
    <col min="9737" max="9984" width="8.83203125" style="43"/>
    <col min="9985" max="9985" width="33.1640625" style="43" bestFit="1" customWidth="1"/>
    <col min="9986" max="9992" width="10.6640625" style="43" customWidth="1"/>
    <col min="9993" max="10240" width="8.83203125" style="43"/>
    <col min="10241" max="10241" width="33.1640625" style="43" bestFit="1" customWidth="1"/>
    <col min="10242" max="10248" width="10.6640625" style="43" customWidth="1"/>
    <col min="10249" max="10496" width="8.83203125" style="43"/>
    <col min="10497" max="10497" width="33.1640625" style="43" bestFit="1" customWidth="1"/>
    <col min="10498" max="10504" width="10.6640625" style="43" customWidth="1"/>
    <col min="10505" max="10752" width="8.83203125" style="43"/>
    <col min="10753" max="10753" width="33.1640625" style="43" bestFit="1" customWidth="1"/>
    <col min="10754" max="10760" width="10.6640625" style="43" customWidth="1"/>
    <col min="10761" max="11008" width="8.83203125" style="43"/>
    <col min="11009" max="11009" width="33.1640625" style="43" bestFit="1" customWidth="1"/>
    <col min="11010" max="11016" width="10.6640625" style="43" customWidth="1"/>
    <col min="11017" max="11264" width="8.83203125" style="43"/>
    <col min="11265" max="11265" width="33.1640625" style="43" bestFit="1" customWidth="1"/>
    <col min="11266" max="11272" width="10.6640625" style="43" customWidth="1"/>
    <col min="11273" max="11520" width="8.83203125" style="43"/>
    <col min="11521" max="11521" width="33.1640625" style="43" bestFit="1" customWidth="1"/>
    <col min="11522" max="11528" width="10.6640625" style="43" customWidth="1"/>
    <col min="11529" max="11776" width="8.83203125" style="43"/>
    <col min="11777" max="11777" width="33.1640625" style="43" bestFit="1" customWidth="1"/>
    <col min="11778" max="11784" width="10.6640625" style="43" customWidth="1"/>
    <col min="11785" max="12032" width="8.83203125" style="43"/>
    <col min="12033" max="12033" width="33.1640625" style="43" bestFit="1" customWidth="1"/>
    <col min="12034" max="12040" width="10.6640625" style="43" customWidth="1"/>
    <col min="12041" max="12288" width="8.83203125" style="43"/>
    <col min="12289" max="12289" width="33.1640625" style="43" bestFit="1" customWidth="1"/>
    <col min="12290" max="12296" width="10.6640625" style="43" customWidth="1"/>
    <col min="12297" max="12544" width="8.83203125" style="43"/>
    <col min="12545" max="12545" width="33.1640625" style="43" bestFit="1" customWidth="1"/>
    <col min="12546" max="12552" width="10.6640625" style="43" customWidth="1"/>
    <col min="12553" max="12800" width="8.83203125" style="43"/>
    <col min="12801" max="12801" width="33.1640625" style="43" bestFit="1" customWidth="1"/>
    <col min="12802" max="12808" width="10.6640625" style="43" customWidth="1"/>
    <col min="12809" max="13056" width="8.83203125" style="43"/>
    <col min="13057" max="13057" width="33.1640625" style="43" bestFit="1" customWidth="1"/>
    <col min="13058" max="13064" width="10.6640625" style="43" customWidth="1"/>
    <col min="13065" max="13312" width="8.83203125" style="43"/>
    <col min="13313" max="13313" width="33.1640625" style="43" bestFit="1" customWidth="1"/>
    <col min="13314" max="13320" width="10.6640625" style="43" customWidth="1"/>
    <col min="13321" max="13568" width="8.83203125" style="43"/>
    <col min="13569" max="13569" width="33.1640625" style="43" bestFit="1" customWidth="1"/>
    <col min="13570" max="13576" width="10.6640625" style="43" customWidth="1"/>
    <col min="13577" max="13824" width="8.83203125" style="43"/>
    <col min="13825" max="13825" width="33.1640625" style="43" bestFit="1" customWidth="1"/>
    <col min="13826" max="13832" width="10.6640625" style="43" customWidth="1"/>
    <col min="13833" max="14080" width="8.83203125" style="43"/>
    <col min="14081" max="14081" width="33.1640625" style="43" bestFit="1" customWidth="1"/>
    <col min="14082" max="14088" width="10.6640625" style="43" customWidth="1"/>
    <col min="14089" max="14336" width="8.83203125" style="43"/>
    <col min="14337" max="14337" width="33.1640625" style="43" bestFit="1" customWidth="1"/>
    <col min="14338" max="14344" width="10.6640625" style="43" customWidth="1"/>
    <col min="14345" max="14592" width="8.83203125" style="43"/>
    <col min="14593" max="14593" width="33.1640625" style="43" bestFit="1" customWidth="1"/>
    <col min="14594" max="14600" width="10.6640625" style="43" customWidth="1"/>
    <col min="14601" max="14848" width="8.83203125" style="43"/>
    <col min="14849" max="14849" width="33.1640625" style="43" bestFit="1" customWidth="1"/>
    <col min="14850" max="14856" width="10.6640625" style="43" customWidth="1"/>
    <col min="14857" max="15104" width="8.83203125" style="43"/>
    <col min="15105" max="15105" width="33.1640625" style="43" bestFit="1" customWidth="1"/>
    <col min="15106" max="15112" width="10.6640625" style="43" customWidth="1"/>
    <col min="15113" max="15360" width="8.83203125" style="43"/>
    <col min="15361" max="15361" width="33.1640625" style="43" bestFit="1" customWidth="1"/>
    <col min="15362" max="15368" width="10.6640625" style="43" customWidth="1"/>
    <col min="15369" max="15616" width="8.83203125" style="43"/>
    <col min="15617" max="15617" width="33.1640625" style="43" bestFit="1" customWidth="1"/>
    <col min="15618" max="15624" width="10.6640625" style="43" customWidth="1"/>
    <col min="15625" max="15872" width="8.83203125" style="43"/>
    <col min="15873" max="15873" width="33.1640625" style="43" bestFit="1" customWidth="1"/>
    <col min="15874" max="15880" width="10.6640625" style="43" customWidth="1"/>
    <col min="15881" max="16128" width="8.83203125" style="43"/>
    <col min="16129" max="16129" width="33.1640625" style="43" bestFit="1" customWidth="1"/>
    <col min="16130" max="16136" width="10.6640625" style="43" customWidth="1"/>
    <col min="16137" max="16384" width="8.83203125" style="43"/>
  </cols>
  <sheetData>
    <row r="1" spans="1:8" x14ac:dyDescent="0.15">
      <c r="A1" s="1402" t="s">
        <v>511</v>
      </c>
      <c r="B1" s="1403"/>
      <c r="C1" s="1403"/>
      <c r="D1" s="1403"/>
      <c r="E1" s="1403"/>
      <c r="F1" s="1403"/>
      <c r="G1" s="1403"/>
      <c r="H1" s="1403"/>
    </row>
    <row r="2" spans="1:8" ht="21" customHeight="1" x14ac:dyDescent="0.15">
      <c r="A2" s="1404"/>
      <c r="B2" s="1404"/>
      <c r="C2" s="1404"/>
      <c r="D2" s="1404"/>
      <c r="E2" s="1404"/>
      <c r="F2" s="1404"/>
      <c r="G2" s="1404"/>
      <c r="H2" s="1404"/>
    </row>
    <row r="3" spans="1:8" ht="12.75" customHeight="1" x14ac:dyDescent="0.15">
      <c r="A3" s="114"/>
      <c r="B3" s="1383" t="s">
        <v>401</v>
      </c>
      <c r="C3" s="1406" t="s">
        <v>512</v>
      </c>
      <c r="D3" s="1407"/>
      <c r="E3" s="1407"/>
      <c r="F3" s="1407"/>
      <c r="G3" s="1407"/>
      <c r="H3" s="1407"/>
    </row>
    <row r="4" spans="1:8" ht="12.75" customHeight="1" x14ac:dyDescent="0.15">
      <c r="A4" s="135"/>
      <c r="B4" s="1391"/>
      <c r="C4" s="1408"/>
      <c r="D4" s="1408"/>
      <c r="E4" s="1408"/>
      <c r="F4" s="1408"/>
      <c r="G4" s="1408"/>
      <c r="H4" s="1408"/>
    </row>
    <row r="5" spans="1:8" x14ac:dyDescent="0.15">
      <c r="A5" s="135"/>
      <c r="B5" s="1391"/>
      <c r="C5" s="1383" t="s">
        <v>513</v>
      </c>
      <c r="D5" s="1383" t="s">
        <v>403</v>
      </c>
      <c r="E5" s="1383" t="s">
        <v>404</v>
      </c>
      <c r="F5" s="1383" t="s">
        <v>405</v>
      </c>
      <c r="G5" s="1383" t="s">
        <v>406</v>
      </c>
      <c r="H5" s="1410" t="s">
        <v>407</v>
      </c>
    </row>
    <row r="6" spans="1:8" x14ac:dyDescent="0.15">
      <c r="A6" s="136"/>
      <c r="B6" s="1405"/>
      <c r="C6" s="1409"/>
      <c r="D6" s="1409"/>
      <c r="E6" s="1409"/>
      <c r="F6" s="1409"/>
      <c r="G6" s="1409"/>
      <c r="H6" s="1411"/>
    </row>
    <row r="7" spans="1:8" x14ac:dyDescent="0.15">
      <c r="A7" s="114"/>
      <c r="B7" s="153"/>
      <c r="C7" s="153"/>
      <c r="D7" s="153"/>
      <c r="E7" s="153"/>
      <c r="F7" s="153"/>
      <c r="G7" s="153"/>
      <c r="H7" s="153"/>
    </row>
    <row r="8" spans="1:8" ht="10.5" customHeight="1" x14ac:dyDescent="0.15">
      <c r="A8" s="110" t="s">
        <v>13</v>
      </c>
      <c r="B8" s="112">
        <v>111.1</v>
      </c>
      <c r="C8" s="112">
        <v>111.1</v>
      </c>
      <c r="D8" s="112">
        <v>69.400000000000006</v>
      </c>
      <c r="E8" s="112">
        <v>8.4</v>
      </c>
      <c r="F8" s="112">
        <v>1.7</v>
      </c>
      <c r="G8" s="112">
        <v>12.6</v>
      </c>
      <c r="H8" s="112">
        <v>14.4</v>
      </c>
    </row>
    <row r="9" spans="1:8" ht="10.5" customHeight="1" x14ac:dyDescent="0.15">
      <c r="A9" s="114"/>
      <c r="B9" s="112"/>
      <c r="C9" s="112"/>
      <c r="D9" s="112"/>
      <c r="E9" s="112"/>
      <c r="F9" s="112"/>
      <c r="G9" s="112"/>
      <c r="H9" s="112"/>
    </row>
    <row r="10" spans="1:8" ht="10.5" customHeight="1" x14ac:dyDescent="0.15">
      <c r="A10" s="142" t="s">
        <v>127</v>
      </c>
      <c r="B10" s="112"/>
      <c r="C10" s="112"/>
      <c r="D10" s="112"/>
      <c r="E10" s="112"/>
      <c r="F10" s="112"/>
      <c r="G10" s="112"/>
      <c r="H10" s="112"/>
    </row>
    <row r="11" spans="1:8" ht="10.5" customHeight="1" x14ac:dyDescent="0.15">
      <c r="A11" s="143" t="s">
        <v>408</v>
      </c>
      <c r="B11" s="112">
        <v>20.6</v>
      </c>
      <c r="C11" s="112">
        <v>20.6</v>
      </c>
      <c r="D11" s="112">
        <v>13.6</v>
      </c>
      <c r="E11" s="112">
        <v>6.5</v>
      </c>
      <c r="F11" s="112">
        <v>0.5</v>
      </c>
      <c r="G11" s="112">
        <v>2</v>
      </c>
      <c r="H11" s="112">
        <v>1.8</v>
      </c>
    </row>
    <row r="12" spans="1:8" ht="10.5" customHeight="1" x14ac:dyDescent="0.15">
      <c r="A12" s="144" t="s">
        <v>410</v>
      </c>
      <c r="B12" s="112">
        <v>5.5</v>
      </c>
      <c r="C12" s="112">
        <v>5.5</v>
      </c>
      <c r="D12" s="112">
        <v>2.7</v>
      </c>
      <c r="E12" s="112">
        <v>2.5</v>
      </c>
      <c r="F12" s="112" t="s">
        <v>182</v>
      </c>
      <c r="G12" s="112">
        <v>0.5</v>
      </c>
      <c r="H12" s="112">
        <v>0.6</v>
      </c>
    </row>
    <row r="13" spans="1:8" ht="10.5" customHeight="1" x14ac:dyDescent="0.15">
      <c r="A13" s="144" t="s">
        <v>411</v>
      </c>
      <c r="B13" s="112">
        <v>15.1</v>
      </c>
      <c r="C13" s="112">
        <v>15.1</v>
      </c>
      <c r="D13" s="112">
        <v>10.9</v>
      </c>
      <c r="E13" s="112">
        <v>4</v>
      </c>
      <c r="F13" s="112">
        <v>0.3</v>
      </c>
      <c r="G13" s="112">
        <v>1.4</v>
      </c>
      <c r="H13" s="112">
        <v>1.1000000000000001</v>
      </c>
    </row>
    <row r="14" spans="1:8" ht="10.5" customHeight="1" x14ac:dyDescent="0.15">
      <c r="A14" s="143" t="s">
        <v>412</v>
      </c>
      <c r="B14" s="112">
        <v>25.6</v>
      </c>
      <c r="C14" s="112">
        <v>25.6</v>
      </c>
      <c r="D14" s="112">
        <v>20.100000000000001</v>
      </c>
      <c r="E14" s="112">
        <v>0.8</v>
      </c>
      <c r="F14" s="112">
        <v>0.3</v>
      </c>
      <c r="G14" s="112">
        <v>3</v>
      </c>
      <c r="H14" s="112">
        <v>3.7</v>
      </c>
    </row>
    <row r="15" spans="1:8" ht="10.5" customHeight="1" x14ac:dyDescent="0.15">
      <c r="A15" s="144" t="s">
        <v>413</v>
      </c>
      <c r="B15" s="112">
        <v>17.7</v>
      </c>
      <c r="C15" s="112">
        <v>17.7</v>
      </c>
      <c r="D15" s="112">
        <v>14.1</v>
      </c>
      <c r="E15" s="112">
        <v>0.7</v>
      </c>
      <c r="F15" s="112">
        <v>0.2</v>
      </c>
      <c r="G15" s="112">
        <v>1.8</v>
      </c>
      <c r="H15" s="112">
        <v>2.2000000000000002</v>
      </c>
    </row>
    <row r="16" spans="1:8" ht="10.5" customHeight="1" x14ac:dyDescent="0.15">
      <c r="A16" s="144" t="s">
        <v>414</v>
      </c>
      <c r="B16" s="112">
        <v>7.9</v>
      </c>
      <c r="C16" s="112">
        <v>7.9</v>
      </c>
      <c r="D16" s="112">
        <v>6</v>
      </c>
      <c r="E16" s="112" t="s">
        <v>182</v>
      </c>
      <c r="F16" s="112" t="s">
        <v>182</v>
      </c>
      <c r="G16" s="112">
        <v>1.2</v>
      </c>
      <c r="H16" s="112">
        <v>1.5</v>
      </c>
    </row>
    <row r="17" spans="1:8" ht="10.5" customHeight="1" x14ac:dyDescent="0.15">
      <c r="A17" s="143" t="s">
        <v>415</v>
      </c>
      <c r="B17" s="112">
        <v>40.700000000000003</v>
      </c>
      <c r="C17" s="112">
        <v>40.700000000000003</v>
      </c>
      <c r="D17" s="112">
        <v>17.5</v>
      </c>
      <c r="E17" s="112">
        <v>0.7</v>
      </c>
      <c r="F17" s="112">
        <v>0.8</v>
      </c>
      <c r="G17" s="112">
        <v>5.2</v>
      </c>
      <c r="H17" s="112">
        <v>5</v>
      </c>
    </row>
    <row r="18" spans="1:8" ht="10.5" customHeight="1" x14ac:dyDescent="0.15">
      <c r="A18" s="144" t="s">
        <v>416</v>
      </c>
      <c r="B18" s="112">
        <v>21.7</v>
      </c>
      <c r="C18" s="112">
        <v>21.7</v>
      </c>
      <c r="D18" s="112">
        <v>7.4</v>
      </c>
      <c r="E18" s="112">
        <v>0.6</v>
      </c>
      <c r="F18" s="112">
        <v>0.6</v>
      </c>
      <c r="G18" s="112">
        <v>2.2999999999999998</v>
      </c>
      <c r="H18" s="112">
        <v>2.6</v>
      </c>
    </row>
    <row r="19" spans="1:8" ht="10.5" customHeight="1" x14ac:dyDescent="0.15">
      <c r="A19" s="144" t="s">
        <v>417</v>
      </c>
      <c r="B19" s="112">
        <v>6.9</v>
      </c>
      <c r="C19" s="112">
        <v>6.9</v>
      </c>
      <c r="D19" s="112">
        <v>2.9</v>
      </c>
      <c r="E19" s="112" t="s">
        <v>182</v>
      </c>
      <c r="F19" s="112">
        <v>0.2</v>
      </c>
      <c r="G19" s="112">
        <v>1.3</v>
      </c>
      <c r="H19" s="112">
        <v>0.9</v>
      </c>
    </row>
    <row r="20" spans="1:8" ht="10.5" customHeight="1" x14ac:dyDescent="0.15">
      <c r="A20" s="144" t="s">
        <v>418</v>
      </c>
      <c r="B20" s="112">
        <v>12.1</v>
      </c>
      <c r="C20" s="112">
        <v>12.1</v>
      </c>
      <c r="D20" s="112">
        <v>7.1</v>
      </c>
      <c r="E20" s="112" t="s">
        <v>419</v>
      </c>
      <c r="F20" s="112" t="s">
        <v>419</v>
      </c>
      <c r="G20" s="112">
        <v>1.7</v>
      </c>
      <c r="H20" s="112">
        <v>1.5</v>
      </c>
    </row>
    <row r="21" spans="1:8" ht="10.5" customHeight="1" x14ac:dyDescent="0.15">
      <c r="A21" s="143" t="s">
        <v>420</v>
      </c>
      <c r="B21" s="112">
        <v>24.2</v>
      </c>
      <c r="C21" s="112">
        <v>24.2</v>
      </c>
      <c r="D21" s="112">
        <v>18.2</v>
      </c>
      <c r="E21" s="112">
        <v>0.4</v>
      </c>
      <c r="F21" s="112" t="s">
        <v>182</v>
      </c>
      <c r="G21" s="112">
        <v>2.5</v>
      </c>
      <c r="H21" s="112">
        <v>4</v>
      </c>
    </row>
    <row r="22" spans="1:8" ht="10.5" customHeight="1" x14ac:dyDescent="0.15">
      <c r="A22" s="144" t="s">
        <v>421</v>
      </c>
      <c r="B22" s="112">
        <v>7.6</v>
      </c>
      <c r="C22" s="112">
        <v>7.6</v>
      </c>
      <c r="D22" s="112">
        <v>5.5</v>
      </c>
      <c r="E22" s="112" t="s">
        <v>182</v>
      </c>
      <c r="F22" s="112" t="s">
        <v>419</v>
      </c>
      <c r="G22" s="112">
        <v>1.3</v>
      </c>
      <c r="H22" s="112">
        <v>1.4</v>
      </c>
    </row>
    <row r="23" spans="1:8" ht="10.5" customHeight="1" x14ac:dyDescent="0.15">
      <c r="A23" s="144" t="s">
        <v>422</v>
      </c>
      <c r="B23" s="112">
        <v>16.600000000000001</v>
      </c>
      <c r="C23" s="112">
        <v>16.600000000000001</v>
      </c>
      <c r="D23" s="112">
        <v>12.7</v>
      </c>
      <c r="E23" s="112">
        <v>0.3</v>
      </c>
      <c r="F23" s="112" t="s">
        <v>182</v>
      </c>
      <c r="G23" s="112">
        <v>1.2</v>
      </c>
      <c r="H23" s="112">
        <v>2.6</v>
      </c>
    </row>
    <row r="24" spans="1:8" ht="10.5" customHeight="1" x14ac:dyDescent="0.15">
      <c r="A24" s="144"/>
      <c r="B24" s="112"/>
      <c r="C24" s="112"/>
      <c r="D24" s="112"/>
      <c r="E24" s="112"/>
      <c r="F24" s="112"/>
      <c r="G24" s="112"/>
      <c r="H24" s="112"/>
    </row>
    <row r="25" spans="1:8" ht="10.5" customHeight="1" x14ac:dyDescent="0.15">
      <c r="A25" s="145" t="s">
        <v>423</v>
      </c>
      <c r="B25" s="112"/>
      <c r="C25" s="112"/>
      <c r="D25" s="112"/>
      <c r="E25" s="112"/>
      <c r="F25" s="112"/>
      <c r="G25" s="112"/>
      <c r="H25" s="112"/>
    </row>
    <row r="26" spans="1:8" ht="10.5" customHeight="1" x14ac:dyDescent="0.15">
      <c r="A26" s="143" t="s">
        <v>424</v>
      </c>
      <c r="B26" s="112">
        <v>7.1</v>
      </c>
      <c r="C26" s="112">
        <v>7.1</v>
      </c>
      <c r="D26" s="112">
        <v>5.3</v>
      </c>
      <c r="E26" s="112">
        <v>2.2999999999999998</v>
      </c>
      <c r="F26" s="112" t="s">
        <v>182</v>
      </c>
      <c r="G26" s="112">
        <v>1</v>
      </c>
      <c r="H26" s="112">
        <v>0.6</v>
      </c>
    </row>
    <row r="27" spans="1:8" ht="10.5" customHeight="1" x14ac:dyDescent="0.15">
      <c r="A27" s="143" t="s">
        <v>425</v>
      </c>
      <c r="B27" s="112">
        <v>7</v>
      </c>
      <c r="C27" s="112">
        <v>7</v>
      </c>
      <c r="D27" s="112">
        <v>1.2</v>
      </c>
      <c r="E27" s="112" t="s">
        <v>419</v>
      </c>
      <c r="F27" s="112" t="s">
        <v>182</v>
      </c>
      <c r="G27" s="112" t="s">
        <v>182</v>
      </c>
      <c r="H27" s="112" t="s">
        <v>182</v>
      </c>
    </row>
    <row r="28" spans="1:8" ht="10.5" customHeight="1" x14ac:dyDescent="0.15">
      <c r="A28" s="143" t="s">
        <v>426</v>
      </c>
      <c r="B28" s="112">
        <v>8</v>
      </c>
      <c r="C28" s="112">
        <v>8</v>
      </c>
      <c r="D28" s="112">
        <v>4.8</v>
      </c>
      <c r="E28" s="112" t="s">
        <v>419</v>
      </c>
      <c r="F28" s="112" t="s">
        <v>419</v>
      </c>
      <c r="G28" s="112">
        <v>0.8</v>
      </c>
      <c r="H28" s="112">
        <v>1</v>
      </c>
    </row>
    <row r="29" spans="1:8" ht="10.5" customHeight="1" x14ac:dyDescent="0.15">
      <c r="A29" s="143" t="s">
        <v>427</v>
      </c>
      <c r="B29" s="112">
        <v>12.1</v>
      </c>
      <c r="C29" s="112">
        <v>12.1</v>
      </c>
      <c r="D29" s="112">
        <v>10.6</v>
      </c>
      <c r="E29" s="112" t="s">
        <v>182</v>
      </c>
      <c r="F29" s="112" t="s">
        <v>419</v>
      </c>
      <c r="G29" s="112">
        <v>0.9</v>
      </c>
      <c r="H29" s="112">
        <v>1.7</v>
      </c>
    </row>
    <row r="30" spans="1:8" ht="10.5" customHeight="1" x14ac:dyDescent="0.15">
      <c r="A30" s="143" t="s">
        <v>428</v>
      </c>
      <c r="B30" s="112">
        <v>76.900000000000006</v>
      </c>
      <c r="C30" s="112">
        <v>76.900000000000006</v>
      </c>
      <c r="D30" s="112">
        <v>47.5</v>
      </c>
      <c r="E30" s="112">
        <v>6.1</v>
      </c>
      <c r="F30" s="112">
        <v>1.5</v>
      </c>
      <c r="G30" s="112">
        <v>9.6</v>
      </c>
      <c r="H30" s="112">
        <v>10.9</v>
      </c>
    </row>
    <row r="31" spans="1:8" ht="10.5" customHeight="1" x14ac:dyDescent="0.15">
      <c r="A31" s="144"/>
      <c r="B31" s="112"/>
      <c r="C31" s="112"/>
      <c r="D31" s="112"/>
      <c r="E31" s="112"/>
      <c r="F31" s="112"/>
      <c r="G31" s="112"/>
      <c r="H31" s="112"/>
    </row>
    <row r="32" spans="1:8" ht="10.5" customHeight="1" x14ac:dyDescent="0.15">
      <c r="A32" s="142" t="s">
        <v>429</v>
      </c>
      <c r="B32" s="112"/>
      <c r="C32" s="112"/>
      <c r="D32" s="112"/>
      <c r="E32" s="112"/>
      <c r="F32" s="112"/>
      <c r="G32" s="112"/>
      <c r="H32" s="112"/>
    </row>
    <row r="33" spans="1:8" ht="10.5" customHeight="1" x14ac:dyDescent="0.15">
      <c r="A33" s="143" t="s">
        <v>430</v>
      </c>
      <c r="B33" s="112">
        <v>47.1</v>
      </c>
      <c r="C33" s="112">
        <v>47.1</v>
      </c>
      <c r="D33" s="112">
        <v>33.299999999999997</v>
      </c>
      <c r="E33" s="112">
        <v>2.6</v>
      </c>
      <c r="F33" s="112">
        <v>0.3</v>
      </c>
      <c r="G33" s="112">
        <v>1.4</v>
      </c>
      <c r="H33" s="112">
        <v>3.6</v>
      </c>
    </row>
    <row r="34" spans="1:8" ht="10.5" customHeight="1" x14ac:dyDescent="0.15">
      <c r="A34" s="143" t="s">
        <v>431</v>
      </c>
      <c r="B34" s="112">
        <v>19</v>
      </c>
      <c r="C34" s="112">
        <v>19</v>
      </c>
      <c r="D34" s="112">
        <v>13.3</v>
      </c>
      <c r="E34" s="112">
        <v>1.7</v>
      </c>
      <c r="F34" s="112">
        <v>0.2</v>
      </c>
      <c r="G34" s="112">
        <v>1.1000000000000001</v>
      </c>
      <c r="H34" s="112">
        <v>1.8</v>
      </c>
    </row>
    <row r="35" spans="1:8" ht="10.5" customHeight="1" x14ac:dyDescent="0.15">
      <c r="A35" s="143" t="s">
        <v>432</v>
      </c>
      <c r="B35" s="112">
        <v>22.7</v>
      </c>
      <c r="C35" s="112">
        <v>22.7</v>
      </c>
      <c r="D35" s="112">
        <v>16.899999999999999</v>
      </c>
      <c r="E35" s="112">
        <v>1.4</v>
      </c>
      <c r="F35" s="112">
        <v>0.2</v>
      </c>
      <c r="G35" s="112">
        <v>1.6</v>
      </c>
      <c r="H35" s="112">
        <v>2.5</v>
      </c>
    </row>
    <row r="36" spans="1:8" ht="10.5" customHeight="1" x14ac:dyDescent="0.15">
      <c r="A36" s="143" t="s">
        <v>433</v>
      </c>
      <c r="B36" s="112">
        <v>22.3</v>
      </c>
      <c r="C36" s="112">
        <v>22.3</v>
      </c>
      <c r="D36" s="112">
        <v>5.9</v>
      </c>
      <c r="E36" s="112">
        <v>2.8</v>
      </c>
      <c r="F36" s="112">
        <v>0.9</v>
      </c>
      <c r="G36" s="112">
        <v>8.4</v>
      </c>
      <c r="H36" s="112">
        <v>6.5</v>
      </c>
    </row>
    <row r="37" spans="1:8" ht="10.5" customHeight="1" x14ac:dyDescent="0.15">
      <c r="A37" s="143"/>
      <c r="B37" s="112"/>
      <c r="C37" s="112"/>
      <c r="D37" s="112"/>
      <c r="E37" s="112"/>
      <c r="F37" s="112"/>
      <c r="G37" s="112"/>
      <c r="H37" s="112"/>
    </row>
    <row r="38" spans="1:8" ht="14.25" customHeight="1" x14ac:dyDescent="0.15">
      <c r="A38" s="146" t="s">
        <v>434</v>
      </c>
      <c r="B38" s="112"/>
      <c r="C38" s="112"/>
      <c r="D38" s="112"/>
      <c r="E38" s="112"/>
      <c r="F38" s="112"/>
      <c r="G38" s="112"/>
      <c r="H38" s="112"/>
    </row>
    <row r="39" spans="1:8" ht="10.5" customHeight="1" x14ac:dyDescent="0.15">
      <c r="A39" s="147" t="s">
        <v>435</v>
      </c>
      <c r="B39" s="112"/>
      <c r="C39" s="112"/>
      <c r="D39" s="112"/>
      <c r="E39" s="112"/>
      <c r="F39" s="112"/>
      <c r="G39" s="112"/>
      <c r="H39" s="112"/>
    </row>
    <row r="40" spans="1:8" ht="10.5" customHeight="1" x14ac:dyDescent="0.15">
      <c r="A40" s="144" t="s">
        <v>436</v>
      </c>
      <c r="B40" s="112">
        <v>10.9</v>
      </c>
      <c r="C40" s="112">
        <v>10.9</v>
      </c>
      <c r="D40" s="112">
        <v>6.9</v>
      </c>
      <c r="E40" s="112">
        <v>1.7</v>
      </c>
      <c r="F40" s="112" t="s">
        <v>182</v>
      </c>
      <c r="G40" s="112">
        <v>2.1</v>
      </c>
      <c r="H40" s="112">
        <v>2.4</v>
      </c>
    </row>
    <row r="41" spans="1:8" ht="10.5" customHeight="1" x14ac:dyDescent="0.15">
      <c r="A41" s="144" t="s">
        <v>437</v>
      </c>
      <c r="B41" s="112">
        <v>26.1</v>
      </c>
      <c r="C41" s="112">
        <v>26.1</v>
      </c>
      <c r="D41" s="112">
        <v>19.100000000000001</v>
      </c>
      <c r="E41" s="112">
        <v>3.1</v>
      </c>
      <c r="F41" s="112">
        <v>0.6</v>
      </c>
      <c r="G41" s="112">
        <v>2.8</v>
      </c>
      <c r="H41" s="112">
        <v>2.6</v>
      </c>
    </row>
    <row r="42" spans="1:8" ht="10.5" customHeight="1" x14ac:dyDescent="0.15">
      <c r="A42" s="144" t="s">
        <v>438</v>
      </c>
      <c r="B42" s="112">
        <v>27.3</v>
      </c>
      <c r="C42" s="112">
        <v>27.3</v>
      </c>
      <c r="D42" s="112">
        <v>17.899999999999999</v>
      </c>
      <c r="E42" s="112">
        <v>3.3</v>
      </c>
      <c r="F42" s="112">
        <v>0.5</v>
      </c>
      <c r="G42" s="112">
        <v>2.4</v>
      </c>
      <c r="H42" s="112">
        <v>3.6</v>
      </c>
    </row>
    <row r="43" spans="1:8" ht="10.5" customHeight="1" x14ac:dyDescent="0.15">
      <c r="A43" s="144" t="s">
        <v>439</v>
      </c>
      <c r="B43" s="112">
        <v>24</v>
      </c>
      <c r="C43" s="112">
        <v>24</v>
      </c>
      <c r="D43" s="112">
        <v>15.8</v>
      </c>
      <c r="E43" s="112" t="s">
        <v>182</v>
      </c>
      <c r="F43" s="112">
        <v>0.4</v>
      </c>
      <c r="G43" s="112">
        <v>3.3</v>
      </c>
      <c r="H43" s="112">
        <v>3.5</v>
      </c>
    </row>
    <row r="44" spans="1:8" ht="10.5" customHeight="1" x14ac:dyDescent="0.15">
      <c r="A44" s="148" t="s">
        <v>440</v>
      </c>
      <c r="B44" s="112"/>
      <c r="C44" s="112"/>
      <c r="D44" s="112"/>
      <c r="E44" s="112"/>
      <c r="F44" s="112"/>
      <c r="G44" s="112"/>
      <c r="H44" s="112"/>
    </row>
    <row r="45" spans="1:8" ht="10.5" customHeight="1" x14ac:dyDescent="0.15">
      <c r="A45" s="144" t="s">
        <v>441</v>
      </c>
      <c r="B45" s="112">
        <v>22.8</v>
      </c>
      <c r="C45" s="112">
        <v>22.8</v>
      </c>
      <c r="D45" s="112">
        <v>9.6999999999999993</v>
      </c>
      <c r="E45" s="112" t="s">
        <v>182</v>
      </c>
      <c r="F45" s="112" t="s">
        <v>182</v>
      </c>
      <c r="G45" s="112">
        <v>2</v>
      </c>
      <c r="H45" s="112">
        <v>2.2000000000000002</v>
      </c>
    </row>
    <row r="46" spans="1:8" ht="10.5" customHeight="1" x14ac:dyDescent="0.15">
      <c r="A46" s="149"/>
      <c r="B46" s="112"/>
      <c r="C46" s="112"/>
      <c r="D46" s="112"/>
      <c r="E46" s="112"/>
      <c r="F46" s="112"/>
      <c r="G46" s="112"/>
      <c r="H46" s="112"/>
    </row>
    <row r="47" spans="1:8" ht="10.5" customHeight="1" x14ac:dyDescent="0.15">
      <c r="A47" s="142" t="s">
        <v>442</v>
      </c>
      <c r="B47" s="112"/>
      <c r="C47" s="112"/>
      <c r="D47" s="112"/>
      <c r="E47" s="112"/>
      <c r="F47" s="112"/>
      <c r="G47" s="112"/>
      <c r="H47" s="112"/>
    </row>
    <row r="48" spans="1:8" ht="10.5" customHeight="1" x14ac:dyDescent="0.15">
      <c r="A48" s="143" t="s">
        <v>443</v>
      </c>
      <c r="B48" s="112">
        <v>72.099999999999994</v>
      </c>
      <c r="C48" s="112">
        <v>72.099999999999994</v>
      </c>
      <c r="D48" s="112">
        <v>46.4</v>
      </c>
      <c r="E48" s="112">
        <v>6</v>
      </c>
      <c r="F48" s="112">
        <v>1.2</v>
      </c>
      <c r="G48" s="112">
        <v>9.9</v>
      </c>
      <c r="H48" s="112">
        <v>13</v>
      </c>
    </row>
    <row r="49" spans="1:8" ht="10.5" customHeight="1" x14ac:dyDescent="0.15">
      <c r="A49" s="143" t="s">
        <v>444</v>
      </c>
      <c r="B49" s="112">
        <v>7.6</v>
      </c>
      <c r="C49" s="112">
        <v>7.6</v>
      </c>
      <c r="D49" s="112">
        <v>5.7</v>
      </c>
      <c r="E49" s="112">
        <v>0.4</v>
      </c>
      <c r="F49" s="112" t="s">
        <v>182</v>
      </c>
      <c r="G49" s="112" t="s">
        <v>182</v>
      </c>
      <c r="H49" s="112">
        <v>0.4</v>
      </c>
    </row>
    <row r="50" spans="1:8" ht="10.5" customHeight="1" x14ac:dyDescent="0.15">
      <c r="A50" s="143" t="s">
        <v>445</v>
      </c>
      <c r="B50" s="112">
        <v>7.8</v>
      </c>
      <c r="C50" s="112">
        <v>7.8</v>
      </c>
      <c r="D50" s="112">
        <v>5.6</v>
      </c>
      <c r="E50" s="112">
        <v>0.8</v>
      </c>
      <c r="F50" s="112" t="s">
        <v>419</v>
      </c>
      <c r="G50" s="112" t="s">
        <v>182</v>
      </c>
      <c r="H50" s="112" t="s">
        <v>182</v>
      </c>
    </row>
    <row r="51" spans="1:8" ht="10.5" customHeight="1" x14ac:dyDescent="0.15">
      <c r="A51" s="143" t="s">
        <v>446</v>
      </c>
      <c r="B51" s="112">
        <v>16.7</v>
      </c>
      <c r="C51" s="112">
        <v>16.7</v>
      </c>
      <c r="D51" s="112">
        <v>9.5</v>
      </c>
      <c r="E51" s="112">
        <v>1</v>
      </c>
      <c r="F51" s="112" t="s">
        <v>182</v>
      </c>
      <c r="G51" s="112">
        <v>0.4</v>
      </c>
      <c r="H51" s="112" t="s">
        <v>182</v>
      </c>
    </row>
    <row r="52" spans="1:8" ht="10.5" customHeight="1" x14ac:dyDescent="0.15">
      <c r="A52" s="143" t="s">
        <v>447</v>
      </c>
      <c r="B52" s="112">
        <v>6.9</v>
      </c>
      <c r="C52" s="112">
        <v>6.9</v>
      </c>
      <c r="D52" s="112">
        <v>2.1</v>
      </c>
      <c r="E52" s="112">
        <v>0.2</v>
      </c>
      <c r="F52" s="112">
        <v>0.4</v>
      </c>
      <c r="G52" s="112">
        <v>1.9</v>
      </c>
      <c r="H52" s="112">
        <v>0.7</v>
      </c>
    </row>
    <row r="53" spans="1:8" ht="10.5" customHeight="1" x14ac:dyDescent="0.15">
      <c r="A53" s="118"/>
      <c r="B53" s="112"/>
      <c r="C53" s="112"/>
      <c r="D53" s="112"/>
      <c r="E53" s="112"/>
      <c r="F53" s="112"/>
      <c r="G53" s="112"/>
      <c r="H53" s="112"/>
    </row>
    <row r="54" spans="1:8" ht="10.5" customHeight="1" x14ac:dyDescent="0.15">
      <c r="A54" s="142" t="s">
        <v>448</v>
      </c>
      <c r="B54" s="112"/>
      <c r="C54" s="112"/>
      <c r="D54" s="112"/>
      <c r="E54" s="112"/>
      <c r="F54" s="112"/>
      <c r="G54" s="112"/>
      <c r="H54" s="112"/>
    </row>
    <row r="55" spans="1:8" ht="10.5" customHeight="1" x14ac:dyDescent="0.15">
      <c r="A55" s="150" t="s">
        <v>449</v>
      </c>
      <c r="B55" s="112">
        <v>78.099999999999994</v>
      </c>
      <c r="C55" s="112">
        <v>78.099999999999994</v>
      </c>
      <c r="D55" s="112">
        <v>48.7</v>
      </c>
      <c r="E55" s="112">
        <v>6.4</v>
      </c>
      <c r="F55" s="112">
        <v>1.4</v>
      </c>
      <c r="G55" s="112">
        <v>11.1</v>
      </c>
      <c r="H55" s="112">
        <v>13.3</v>
      </c>
    </row>
    <row r="56" spans="1:8" ht="10.5" customHeight="1" x14ac:dyDescent="0.15">
      <c r="A56" s="144" t="s">
        <v>443</v>
      </c>
      <c r="B56" s="112">
        <v>64.099999999999994</v>
      </c>
      <c r="C56" s="112">
        <v>64.099999999999994</v>
      </c>
      <c r="D56" s="112">
        <v>41.2</v>
      </c>
      <c r="E56" s="112">
        <v>5.5</v>
      </c>
      <c r="F56" s="112">
        <v>1</v>
      </c>
      <c r="G56" s="112">
        <v>9.1999999999999993</v>
      </c>
      <c r="H56" s="112">
        <v>12.3</v>
      </c>
    </row>
    <row r="57" spans="1:8" ht="10.5" customHeight="1" x14ac:dyDescent="0.15">
      <c r="A57" s="144" t="s">
        <v>444</v>
      </c>
      <c r="B57" s="112">
        <v>4.2</v>
      </c>
      <c r="C57" s="112">
        <v>4.2</v>
      </c>
      <c r="D57" s="112">
        <v>3.2</v>
      </c>
      <c r="E57" s="112">
        <v>0.3</v>
      </c>
      <c r="F57" s="112" t="s">
        <v>182</v>
      </c>
      <c r="G57" s="112" t="s">
        <v>182</v>
      </c>
      <c r="H57" s="112">
        <v>0.3</v>
      </c>
    </row>
    <row r="58" spans="1:8" ht="10.5" customHeight="1" x14ac:dyDescent="0.15">
      <c r="A58" s="144" t="s">
        <v>445</v>
      </c>
      <c r="B58" s="112">
        <v>1.8</v>
      </c>
      <c r="C58" s="112">
        <v>1.8</v>
      </c>
      <c r="D58" s="112">
        <v>1.5</v>
      </c>
      <c r="E58" s="112">
        <v>0.3</v>
      </c>
      <c r="F58" s="112" t="s">
        <v>419</v>
      </c>
      <c r="G58" s="112" t="s">
        <v>182</v>
      </c>
      <c r="H58" s="112" t="s">
        <v>182</v>
      </c>
    </row>
    <row r="59" spans="1:8" ht="10.5" customHeight="1" x14ac:dyDescent="0.15">
      <c r="A59" s="144" t="s">
        <v>446</v>
      </c>
      <c r="B59" s="112">
        <v>2.2999999999999998</v>
      </c>
      <c r="C59" s="112">
        <v>2.2999999999999998</v>
      </c>
      <c r="D59" s="112">
        <v>1</v>
      </c>
      <c r="E59" s="112" t="s">
        <v>182</v>
      </c>
      <c r="F59" s="112" t="s">
        <v>419</v>
      </c>
      <c r="G59" s="112" t="s">
        <v>182</v>
      </c>
      <c r="H59" s="112" t="s">
        <v>182</v>
      </c>
    </row>
    <row r="60" spans="1:8" ht="10.5" customHeight="1" x14ac:dyDescent="0.15">
      <c r="A60" s="144" t="s">
        <v>447</v>
      </c>
      <c r="B60" s="112">
        <v>5.7</v>
      </c>
      <c r="C60" s="112">
        <v>5.7</v>
      </c>
      <c r="D60" s="112">
        <v>1.8</v>
      </c>
      <c r="E60" s="112">
        <v>0.2</v>
      </c>
      <c r="F60" s="112">
        <v>0.3</v>
      </c>
      <c r="G60" s="112">
        <v>1.7</v>
      </c>
      <c r="H60" s="112">
        <v>0.6</v>
      </c>
    </row>
    <row r="61" spans="1:8" ht="10.5" customHeight="1" x14ac:dyDescent="0.15">
      <c r="A61" s="150" t="s">
        <v>450</v>
      </c>
      <c r="B61" s="112">
        <v>33</v>
      </c>
      <c r="C61" s="112">
        <v>33</v>
      </c>
      <c r="D61" s="112">
        <v>20.6</v>
      </c>
      <c r="E61" s="112">
        <v>2</v>
      </c>
      <c r="F61" s="112">
        <v>0.3</v>
      </c>
      <c r="G61" s="112">
        <v>1.5</v>
      </c>
      <c r="H61" s="112">
        <v>1.1000000000000001</v>
      </c>
    </row>
    <row r="62" spans="1:8" ht="10.5" customHeight="1" x14ac:dyDescent="0.15">
      <c r="A62" s="144" t="s">
        <v>443</v>
      </c>
      <c r="B62" s="112">
        <v>8</v>
      </c>
      <c r="C62" s="112">
        <v>8</v>
      </c>
      <c r="D62" s="112">
        <v>5.2</v>
      </c>
      <c r="E62" s="112">
        <v>0.5</v>
      </c>
      <c r="F62" s="112" t="s">
        <v>182</v>
      </c>
      <c r="G62" s="112">
        <v>0.7</v>
      </c>
      <c r="H62" s="112">
        <v>0.8</v>
      </c>
    </row>
    <row r="63" spans="1:8" ht="10.5" customHeight="1" x14ac:dyDescent="0.15">
      <c r="A63" s="144" t="s">
        <v>444</v>
      </c>
      <c r="B63" s="112">
        <v>3.4</v>
      </c>
      <c r="C63" s="112">
        <v>3.4</v>
      </c>
      <c r="D63" s="112">
        <v>2.5</v>
      </c>
      <c r="E63" s="112" t="s">
        <v>182</v>
      </c>
      <c r="F63" s="112" t="s">
        <v>419</v>
      </c>
      <c r="G63" s="112" t="s">
        <v>182</v>
      </c>
      <c r="H63" s="112" t="s">
        <v>182</v>
      </c>
    </row>
    <row r="64" spans="1:8" ht="10.5" customHeight="1" x14ac:dyDescent="0.15">
      <c r="A64" s="144" t="s">
        <v>445</v>
      </c>
      <c r="B64" s="112">
        <v>5.9</v>
      </c>
      <c r="C64" s="112">
        <v>5.9</v>
      </c>
      <c r="D64" s="112">
        <v>4.2</v>
      </c>
      <c r="E64" s="112">
        <v>0.5</v>
      </c>
      <c r="F64" s="112" t="s">
        <v>419</v>
      </c>
      <c r="G64" s="112" t="s">
        <v>182</v>
      </c>
      <c r="H64" s="112" t="s">
        <v>182</v>
      </c>
    </row>
    <row r="65" spans="1:8" ht="10.5" customHeight="1" x14ac:dyDescent="0.15">
      <c r="A65" s="144" t="s">
        <v>446</v>
      </c>
      <c r="B65" s="112">
        <v>14.4</v>
      </c>
      <c r="C65" s="112">
        <v>14.4</v>
      </c>
      <c r="D65" s="112">
        <v>8.5</v>
      </c>
      <c r="E65" s="112">
        <v>0.9</v>
      </c>
      <c r="F65" s="112" t="s">
        <v>182</v>
      </c>
      <c r="G65" s="112">
        <v>0.4</v>
      </c>
      <c r="H65" s="112" t="s">
        <v>182</v>
      </c>
    </row>
    <row r="66" spans="1:8" ht="10.5" customHeight="1" x14ac:dyDescent="0.15">
      <c r="A66" s="144" t="s">
        <v>447</v>
      </c>
      <c r="B66" s="112">
        <v>1.2</v>
      </c>
      <c r="C66" s="112">
        <v>1.2</v>
      </c>
      <c r="D66" s="112">
        <v>0.4</v>
      </c>
      <c r="E66" s="112" t="s">
        <v>182</v>
      </c>
      <c r="F66" s="112" t="s">
        <v>182</v>
      </c>
      <c r="G66" s="112">
        <v>0.2</v>
      </c>
      <c r="H66" s="112" t="s">
        <v>182</v>
      </c>
    </row>
    <row r="67" spans="1:8" ht="10.5" customHeight="1" x14ac:dyDescent="0.15">
      <c r="A67" s="144"/>
      <c r="B67" s="112"/>
      <c r="C67" s="112"/>
      <c r="D67" s="112"/>
      <c r="E67" s="112"/>
      <c r="F67" s="112"/>
      <c r="G67" s="112"/>
      <c r="H67" s="112"/>
    </row>
    <row r="68" spans="1:8" ht="10.5" customHeight="1" x14ac:dyDescent="0.15">
      <c r="A68" s="142" t="s">
        <v>451</v>
      </c>
      <c r="B68" s="112"/>
      <c r="C68" s="112"/>
      <c r="D68" s="112"/>
      <c r="E68" s="112"/>
      <c r="F68" s="112"/>
      <c r="G68" s="112"/>
      <c r="H68" s="112"/>
    </row>
    <row r="69" spans="1:8" ht="10.5" customHeight="1" x14ac:dyDescent="0.15">
      <c r="A69" s="143" t="s">
        <v>452</v>
      </c>
      <c r="B69" s="112">
        <v>14.7</v>
      </c>
      <c r="C69" s="112">
        <v>14.7</v>
      </c>
      <c r="D69" s="112">
        <v>10.9</v>
      </c>
      <c r="E69" s="112">
        <v>2.7</v>
      </c>
      <c r="F69" s="112">
        <v>0.3</v>
      </c>
      <c r="G69" s="112">
        <v>1.8</v>
      </c>
      <c r="H69" s="112">
        <v>2.2000000000000002</v>
      </c>
    </row>
    <row r="70" spans="1:8" ht="10.5" customHeight="1" x14ac:dyDescent="0.15">
      <c r="A70" s="143" t="s">
        <v>453</v>
      </c>
      <c r="B70" s="112">
        <v>7.4</v>
      </c>
      <c r="C70" s="112">
        <v>7.4</v>
      </c>
      <c r="D70" s="112">
        <v>5.8</v>
      </c>
      <c r="E70" s="112">
        <v>1</v>
      </c>
      <c r="F70" s="112" t="s">
        <v>182</v>
      </c>
      <c r="G70" s="112">
        <v>0.7</v>
      </c>
      <c r="H70" s="112">
        <v>0.8</v>
      </c>
    </row>
    <row r="71" spans="1:8" ht="10.5" customHeight="1" x14ac:dyDescent="0.15">
      <c r="A71" s="143" t="s">
        <v>454</v>
      </c>
      <c r="B71" s="112">
        <v>12.5</v>
      </c>
      <c r="C71" s="112">
        <v>12.5</v>
      </c>
      <c r="D71" s="112">
        <v>9.1999999999999993</v>
      </c>
      <c r="E71" s="112">
        <v>1.5</v>
      </c>
      <c r="F71" s="112" t="s">
        <v>182</v>
      </c>
      <c r="G71" s="112">
        <v>0.8</v>
      </c>
      <c r="H71" s="112">
        <v>1.1000000000000001</v>
      </c>
    </row>
    <row r="72" spans="1:8" ht="10.5" customHeight="1" x14ac:dyDescent="0.15">
      <c r="A72" s="143" t="s">
        <v>455</v>
      </c>
      <c r="B72" s="112">
        <v>12.5</v>
      </c>
      <c r="C72" s="112">
        <v>12.5</v>
      </c>
      <c r="D72" s="112">
        <v>8.5</v>
      </c>
      <c r="E72" s="112">
        <v>1</v>
      </c>
      <c r="F72" s="112" t="s">
        <v>182</v>
      </c>
      <c r="G72" s="112">
        <v>1</v>
      </c>
      <c r="H72" s="112">
        <v>1.5</v>
      </c>
    </row>
    <row r="73" spans="1:8" ht="10.5" customHeight="1" x14ac:dyDescent="0.15">
      <c r="A73" s="143" t="s">
        <v>456</v>
      </c>
      <c r="B73" s="112">
        <v>18.899999999999999</v>
      </c>
      <c r="C73" s="112">
        <v>18.899999999999999</v>
      </c>
      <c r="D73" s="112">
        <v>10.5</v>
      </c>
      <c r="E73" s="112">
        <v>1.1000000000000001</v>
      </c>
      <c r="F73" s="112">
        <v>0.4</v>
      </c>
      <c r="G73" s="112">
        <v>1.8</v>
      </c>
      <c r="H73" s="112">
        <v>2.6</v>
      </c>
    </row>
    <row r="74" spans="1:8" ht="10.5" customHeight="1" x14ac:dyDescent="0.15">
      <c r="A74" s="143" t="s">
        <v>457</v>
      </c>
      <c r="B74" s="112">
        <v>18.600000000000001</v>
      </c>
      <c r="C74" s="112">
        <v>18.600000000000001</v>
      </c>
      <c r="D74" s="112">
        <v>10.199999999999999</v>
      </c>
      <c r="E74" s="112">
        <v>0.5</v>
      </c>
      <c r="F74" s="112">
        <v>0.3</v>
      </c>
      <c r="G74" s="112">
        <v>2.2999999999999998</v>
      </c>
      <c r="H74" s="112">
        <v>2.9</v>
      </c>
    </row>
    <row r="75" spans="1:8" ht="10.5" customHeight="1" x14ac:dyDescent="0.15">
      <c r="A75" s="143" t="s">
        <v>458</v>
      </c>
      <c r="B75" s="112">
        <v>17.3</v>
      </c>
      <c r="C75" s="112">
        <v>17.3</v>
      </c>
      <c r="D75" s="112">
        <v>9.3000000000000007</v>
      </c>
      <c r="E75" s="112">
        <v>0.4</v>
      </c>
      <c r="F75" s="112" t="s">
        <v>182</v>
      </c>
      <c r="G75" s="112">
        <v>2.7</v>
      </c>
      <c r="H75" s="112">
        <v>2.8</v>
      </c>
    </row>
    <row r="76" spans="1:8" ht="10.5" customHeight="1" x14ac:dyDescent="0.15">
      <c r="A76" s="143" t="s">
        <v>459</v>
      </c>
      <c r="B76" s="112">
        <v>9.1999999999999993</v>
      </c>
      <c r="C76" s="112">
        <v>9.1999999999999993</v>
      </c>
      <c r="D76" s="112">
        <v>5.0999999999999996</v>
      </c>
      <c r="E76" s="112">
        <v>0.2</v>
      </c>
      <c r="F76" s="112" t="s">
        <v>182</v>
      </c>
      <c r="G76" s="112">
        <v>1.4</v>
      </c>
      <c r="H76" s="112">
        <v>0.7</v>
      </c>
    </row>
    <row r="77" spans="1:8" ht="10.5" customHeight="1" x14ac:dyDescent="0.15">
      <c r="A77" s="143"/>
      <c r="B77" s="112"/>
      <c r="C77" s="112"/>
      <c r="D77" s="112"/>
      <c r="E77" s="112"/>
      <c r="F77" s="112"/>
      <c r="G77" s="112"/>
      <c r="H77" s="112"/>
    </row>
    <row r="78" spans="1:8" ht="10.5" customHeight="1" x14ac:dyDescent="0.15">
      <c r="A78" s="142" t="s">
        <v>460</v>
      </c>
      <c r="B78" s="112"/>
      <c r="C78" s="112"/>
      <c r="D78" s="112"/>
      <c r="E78" s="112"/>
      <c r="F78" s="112"/>
      <c r="G78" s="112"/>
      <c r="H78" s="112"/>
    </row>
    <row r="79" spans="1:8" ht="10.5" customHeight="1" x14ac:dyDescent="0.15">
      <c r="A79" s="143" t="s">
        <v>461</v>
      </c>
      <c r="B79" s="112">
        <v>3.2</v>
      </c>
      <c r="C79" s="112">
        <v>3.2</v>
      </c>
      <c r="D79" s="112">
        <v>1.9</v>
      </c>
      <c r="E79" s="112" t="s">
        <v>182</v>
      </c>
      <c r="F79" s="112" t="s">
        <v>182</v>
      </c>
      <c r="G79" s="112">
        <v>0.3</v>
      </c>
      <c r="H79" s="112" t="s">
        <v>182</v>
      </c>
    </row>
    <row r="80" spans="1:8" ht="10.5" customHeight="1" x14ac:dyDescent="0.15">
      <c r="A80" s="143" t="s">
        <v>462</v>
      </c>
      <c r="B80" s="112">
        <v>23.8</v>
      </c>
      <c r="C80" s="112">
        <v>23.8</v>
      </c>
      <c r="D80" s="112">
        <v>13.6</v>
      </c>
      <c r="E80" s="112">
        <v>1.5</v>
      </c>
      <c r="F80" s="112">
        <v>0.2</v>
      </c>
      <c r="G80" s="112">
        <v>1.7</v>
      </c>
      <c r="H80" s="112">
        <v>1.1000000000000001</v>
      </c>
    </row>
    <row r="81" spans="1:9" ht="10.5" customHeight="1" x14ac:dyDescent="0.15">
      <c r="A81" s="143" t="s">
        <v>463</v>
      </c>
      <c r="B81" s="112">
        <v>20.8</v>
      </c>
      <c r="C81" s="112">
        <v>20.8</v>
      </c>
      <c r="D81" s="112">
        <v>12.4</v>
      </c>
      <c r="E81" s="112">
        <v>0.8</v>
      </c>
      <c r="F81" s="112">
        <v>0.4</v>
      </c>
      <c r="G81" s="112">
        <v>2</v>
      </c>
      <c r="H81" s="112">
        <v>1.9</v>
      </c>
    </row>
    <row r="82" spans="1:9" ht="10.5" customHeight="1" x14ac:dyDescent="0.15">
      <c r="A82" s="143" t="s">
        <v>464</v>
      </c>
      <c r="B82" s="112">
        <v>15.4</v>
      </c>
      <c r="C82" s="112">
        <v>15.4</v>
      </c>
      <c r="D82" s="112">
        <v>9.6</v>
      </c>
      <c r="E82" s="112">
        <v>0.8</v>
      </c>
      <c r="F82" s="112">
        <v>0.2</v>
      </c>
      <c r="G82" s="112">
        <v>1.8</v>
      </c>
      <c r="H82" s="112">
        <v>2.2000000000000002</v>
      </c>
    </row>
    <row r="83" spans="1:9" ht="10.5" customHeight="1" x14ac:dyDescent="0.15">
      <c r="A83" s="143" t="s">
        <v>465</v>
      </c>
      <c r="B83" s="112">
        <v>12.2</v>
      </c>
      <c r="C83" s="112">
        <v>12.2</v>
      </c>
      <c r="D83" s="112">
        <v>8.1</v>
      </c>
      <c r="E83" s="112">
        <v>0.9</v>
      </c>
      <c r="F83" s="112">
        <v>0.2</v>
      </c>
      <c r="G83" s="112">
        <v>1.3</v>
      </c>
      <c r="H83" s="112">
        <v>2.2000000000000002</v>
      </c>
    </row>
    <row r="84" spans="1:9" ht="10.5" customHeight="1" x14ac:dyDescent="0.15">
      <c r="A84" s="143" t="s">
        <v>466</v>
      </c>
      <c r="B84" s="112">
        <v>10.3</v>
      </c>
      <c r="C84" s="112">
        <v>10.3</v>
      </c>
      <c r="D84" s="112">
        <v>7.1</v>
      </c>
      <c r="E84" s="112">
        <v>1</v>
      </c>
      <c r="F84" s="112" t="s">
        <v>182</v>
      </c>
      <c r="G84" s="112">
        <v>1.4</v>
      </c>
      <c r="H84" s="112">
        <v>2</v>
      </c>
    </row>
    <row r="85" spans="1:9" ht="10.5" customHeight="1" x14ac:dyDescent="0.15">
      <c r="A85" s="143" t="s">
        <v>467</v>
      </c>
      <c r="B85" s="112">
        <v>6.7</v>
      </c>
      <c r="C85" s="112">
        <v>6.7</v>
      </c>
      <c r="D85" s="112">
        <v>4.2</v>
      </c>
      <c r="E85" s="112">
        <v>1</v>
      </c>
      <c r="F85" s="112" t="s">
        <v>182</v>
      </c>
      <c r="G85" s="112">
        <v>1</v>
      </c>
      <c r="H85" s="112">
        <v>1.3</v>
      </c>
    </row>
    <row r="86" spans="1:9" ht="10.5" customHeight="1" x14ac:dyDescent="0.15">
      <c r="A86" s="143" t="s">
        <v>468</v>
      </c>
      <c r="B86" s="112">
        <v>5.2</v>
      </c>
      <c r="C86" s="112">
        <v>5.2</v>
      </c>
      <c r="D86" s="112">
        <v>3.6</v>
      </c>
      <c r="E86" s="112">
        <v>0.7</v>
      </c>
      <c r="F86" s="112" t="s">
        <v>182</v>
      </c>
      <c r="G86" s="112">
        <v>0.8</v>
      </c>
      <c r="H86" s="112">
        <v>0.7</v>
      </c>
    </row>
    <row r="87" spans="1:9" ht="10.5" customHeight="1" x14ac:dyDescent="0.15">
      <c r="A87" s="143" t="s">
        <v>469</v>
      </c>
      <c r="B87" s="112">
        <v>13.3</v>
      </c>
      <c r="C87" s="112">
        <v>13.3</v>
      </c>
      <c r="D87" s="112">
        <v>8.9</v>
      </c>
      <c r="E87" s="112">
        <v>1.5</v>
      </c>
      <c r="F87" s="112" t="s">
        <v>182</v>
      </c>
      <c r="G87" s="112">
        <v>2.2999999999999998</v>
      </c>
      <c r="H87" s="112">
        <v>3</v>
      </c>
    </row>
    <row r="88" spans="1:9" ht="10.5" customHeight="1" x14ac:dyDescent="0.15">
      <c r="A88" s="143"/>
      <c r="B88" s="112"/>
      <c r="C88" s="112"/>
      <c r="D88" s="112"/>
      <c r="E88" s="112"/>
      <c r="F88" s="112"/>
      <c r="G88" s="112"/>
      <c r="H88" s="112"/>
    </row>
    <row r="89" spans="1:9" ht="10.5" customHeight="1" x14ac:dyDescent="0.15">
      <c r="A89" s="115" t="s">
        <v>470</v>
      </c>
      <c r="B89" s="112"/>
      <c r="C89" s="112"/>
      <c r="D89" s="112"/>
      <c r="E89" s="112"/>
      <c r="F89" s="112"/>
      <c r="G89" s="112"/>
      <c r="H89" s="112"/>
    </row>
    <row r="90" spans="1:9" ht="10.5" customHeight="1" x14ac:dyDescent="0.15">
      <c r="A90" s="143" t="s">
        <v>471</v>
      </c>
      <c r="B90" s="112">
        <v>30</v>
      </c>
      <c r="C90" s="112">
        <v>30</v>
      </c>
      <c r="D90" s="112">
        <v>18.3</v>
      </c>
      <c r="E90" s="112">
        <v>2.1</v>
      </c>
      <c r="F90" s="112">
        <v>0.6</v>
      </c>
      <c r="G90" s="112">
        <v>2.7</v>
      </c>
      <c r="H90" s="112">
        <v>2.6</v>
      </c>
    </row>
    <row r="91" spans="1:9" ht="10.5" customHeight="1" x14ac:dyDescent="0.15">
      <c r="A91" s="143" t="s">
        <v>472</v>
      </c>
      <c r="B91" s="112">
        <v>34.799999999999997</v>
      </c>
      <c r="C91" s="112">
        <v>34.799999999999997</v>
      </c>
      <c r="D91" s="112">
        <v>21</v>
      </c>
      <c r="E91" s="112">
        <v>2.8</v>
      </c>
      <c r="F91" s="112">
        <v>0.4</v>
      </c>
      <c r="G91" s="112">
        <v>4.7</v>
      </c>
      <c r="H91" s="112">
        <v>5.3</v>
      </c>
    </row>
    <row r="92" spans="1:9" ht="10.5" customHeight="1" x14ac:dyDescent="0.15">
      <c r="A92" s="143" t="s">
        <v>473</v>
      </c>
      <c r="B92" s="112">
        <v>18.399999999999999</v>
      </c>
      <c r="C92" s="112">
        <v>18.399999999999999</v>
      </c>
      <c r="D92" s="112">
        <v>11.5</v>
      </c>
      <c r="E92" s="112">
        <v>1.7</v>
      </c>
      <c r="F92" s="112">
        <v>0.3</v>
      </c>
      <c r="G92" s="112">
        <v>2</v>
      </c>
      <c r="H92" s="112">
        <v>2.9</v>
      </c>
    </row>
    <row r="93" spans="1:9" ht="10.5" customHeight="1" x14ac:dyDescent="0.15">
      <c r="A93" s="143" t="s">
        <v>474</v>
      </c>
      <c r="B93" s="112">
        <v>15.9</v>
      </c>
      <c r="C93" s="112">
        <v>15.9</v>
      </c>
      <c r="D93" s="112">
        <v>10.3</v>
      </c>
      <c r="E93" s="112">
        <v>1.1000000000000001</v>
      </c>
      <c r="F93" s="112" t="s">
        <v>182</v>
      </c>
      <c r="G93" s="112">
        <v>2</v>
      </c>
      <c r="H93" s="112">
        <v>2.5</v>
      </c>
    </row>
    <row r="94" spans="1:9" ht="10.5" customHeight="1" x14ac:dyDescent="0.15">
      <c r="A94" s="143" t="s">
        <v>475</v>
      </c>
      <c r="B94" s="112">
        <v>7.9</v>
      </c>
      <c r="C94" s="112">
        <v>7.9</v>
      </c>
      <c r="D94" s="112">
        <v>5.4</v>
      </c>
      <c r="E94" s="112">
        <v>0.6</v>
      </c>
      <c r="F94" s="112" t="s">
        <v>182</v>
      </c>
      <c r="G94" s="112">
        <v>0.8</v>
      </c>
      <c r="H94" s="112">
        <v>0.8</v>
      </c>
      <c r="I94" s="158"/>
    </row>
    <row r="95" spans="1:9" ht="10.5" customHeight="1" x14ac:dyDescent="0.15">
      <c r="A95" s="143" t="s">
        <v>476</v>
      </c>
      <c r="B95" s="112">
        <v>4.0999999999999996</v>
      </c>
      <c r="C95" s="112">
        <v>4.0999999999999996</v>
      </c>
      <c r="D95" s="112">
        <v>3</v>
      </c>
      <c r="E95" s="112">
        <v>0.2</v>
      </c>
      <c r="F95" s="112" t="s">
        <v>182</v>
      </c>
      <c r="G95" s="112">
        <v>0.5</v>
      </c>
      <c r="H95" s="112">
        <v>0.4</v>
      </c>
    </row>
    <row r="96" spans="1:9" ht="10.5" customHeight="1" x14ac:dyDescent="0.15">
      <c r="A96" s="143"/>
      <c r="B96" s="112"/>
      <c r="C96" s="112"/>
      <c r="D96" s="112"/>
      <c r="E96" s="112"/>
      <c r="F96" s="112"/>
      <c r="G96" s="112"/>
      <c r="H96" s="112"/>
    </row>
    <row r="97" spans="1:8" ht="10.5" customHeight="1" x14ac:dyDescent="0.15">
      <c r="A97" s="149" t="s">
        <v>477</v>
      </c>
      <c r="B97" s="112"/>
      <c r="C97" s="112"/>
      <c r="D97" s="112"/>
      <c r="E97" s="112"/>
      <c r="F97" s="112"/>
      <c r="G97" s="112"/>
      <c r="H97" s="112"/>
    </row>
    <row r="98" spans="1:8" ht="10.5" customHeight="1" x14ac:dyDescent="0.15">
      <c r="A98" s="143" t="s">
        <v>478</v>
      </c>
      <c r="B98" s="151">
        <v>9.9</v>
      </c>
      <c r="C98" s="151">
        <v>9.9</v>
      </c>
      <c r="D98" s="151">
        <v>5.9</v>
      </c>
      <c r="E98" s="151">
        <v>0.7</v>
      </c>
      <c r="F98" s="151">
        <v>0.3</v>
      </c>
      <c r="G98" s="151">
        <v>0.9</v>
      </c>
      <c r="H98" s="151">
        <v>0.6</v>
      </c>
    </row>
    <row r="99" spans="1:8" ht="10.5" customHeight="1" x14ac:dyDescent="0.15">
      <c r="A99" s="143" t="s">
        <v>479</v>
      </c>
      <c r="B99" s="112">
        <v>8.5</v>
      </c>
      <c r="C99" s="112">
        <v>8.5</v>
      </c>
      <c r="D99" s="112">
        <v>5</v>
      </c>
      <c r="E99" s="112">
        <v>0.8</v>
      </c>
      <c r="F99" s="112">
        <v>0.3</v>
      </c>
      <c r="G99" s="112">
        <v>0.8</v>
      </c>
      <c r="H99" s="112">
        <v>0.6</v>
      </c>
    </row>
    <row r="100" spans="1:8" ht="10.5" customHeight="1" x14ac:dyDescent="0.15">
      <c r="A100" s="143" t="s">
        <v>480</v>
      </c>
      <c r="B100" s="112">
        <v>8.4</v>
      </c>
      <c r="C100" s="112">
        <v>8.4</v>
      </c>
      <c r="D100" s="112">
        <v>4.5999999999999996</v>
      </c>
      <c r="E100" s="112">
        <v>0.8</v>
      </c>
      <c r="F100" s="112" t="s">
        <v>182</v>
      </c>
      <c r="G100" s="112">
        <v>0.9</v>
      </c>
      <c r="H100" s="112">
        <v>0.9</v>
      </c>
    </row>
    <row r="101" spans="1:8" ht="10.5" customHeight="1" x14ac:dyDescent="0.15">
      <c r="A101" s="143" t="s">
        <v>481</v>
      </c>
      <c r="B101" s="112">
        <v>15.1</v>
      </c>
      <c r="C101" s="112">
        <v>15.1</v>
      </c>
      <c r="D101" s="112">
        <v>9.1</v>
      </c>
      <c r="E101" s="112">
        <v>0.9</v>
      </c>
      <c r="F101" s="112">
        <v>0.2</v>
      </c>
      <c r="G101" s="112">
        <v>1.6</v>
      </c>
      <c r="H101" s="112">
        <v>1.6</v>
      </c>
    </row>
    <row r="102" spans="1:8" ht="10.5" customHeight="1" x14ac:dyDescent="0.15">
      <c r="A102" s="143" t="s">
        <v>482</v>
      </c>
      <c r="B102" s="112">
        <v>13.6</v>
      </c>
      <c r="C102" s="112">
        <v>13.6</v>
      </c>
      <c r="D102" s="112">
        <v>8.1</v>
      </c>
      <c r="E102" s="112">
        <v>1</v>
      </c>
      <c r="F102" s="112" t="s">
        <v>182</v>
      </c>
      <c r="G102" s="112">
        <v>1.4</v>
      </c>
      <c r="H102" s="112">
        <v>1.5</v>
      </c>
    </row>
    <row r="103" spans="1:8" ht="10.5" customHeight="1" x14ac:dyDescent="0.15">
      <c r="A103" s="143" t="s">
        <v>483</v>
      </c>
      <c r="B103" s="112">
        <v>11</v>
      </c>
      <c r="C103" s="112">
        <v>11</v>
      </c>
      <c r="D103" s="112">
        <v>7.1</v>
      </c>
      <c r="E103" s="112">
        <v>0.8</v>
      </c>
      <c r="F103" s="112" t="s">
        <v>182</v>
      </c>
      <c r="G103" s="112">
        <v>1.2</v>
      </c>
      <c r="H103" s="112">
        <v>1.7</v>
      </c>
    </row>
    <row r="104" spans="1:8" ht="10.5" customHeight="1" x14ac:dyDescent="0.15">
      <c r="A104" s="143" t="s">
        <v>484</v>
      </c>
      <c r="B104" s="112">
        <v>19.8</v>
      </c>
      <c r="C104" s="112">
        <v>19.8</v>
      </c>
      <c r="D104" s="112">
        <v>12.6</v>
      </c>
      <c r="E104" s="112">
        <v>1.4</v>
      </c>
      <c r="F104" s="112" t="s">
        <v>182</v>
      </c>
      <c r="G104" s="112">
        <v>2.2999999999999998</v>
      </c>
      <c r="H104" s="112">
        <v>2.9</v>
      </c>
    </row>
    <row r="105" spans="1:8" ht="10.5" customHeight="1" x14ac:dyDescent="0.15">
      <c r="A105" s="143" t="s">
        <v>485</v>
      </c>
      <c r="B105" s="112">
        <v>10.6</v>
      </c>
      <c r="C105" s="112">
        <v>10.6</v>
      </c>
      <c r="D105" s="112">
        <v>6.4</v>
      </c>
      <c r="E105" s="112">
        <v>1.1000000000000001</v>
      </c>
      <c r="F105" s="112" t="s">
        <v>182</v>
      </c>
      <c r="G105" s="112">
        <v>1.3</v>
      </c>
      <c r="H105" s="112">
        <v>1.9</v>
      </c>
    </row>
    <row r="106" spans="1:8" ht="10.5" customHeight="1" x14ac:dyDescent="0.15">
      <c r="A106" s="143" t="s">
        <v>486</v>
      </c>
      <c r="B106" s="112">
        <v>14.2</v>
      </c>
      <c r="C106" s="112">
        <v>14.2</v>
      </c>
      <c r="D106" s="112">
        <v>10.6</v>
      </c>
      <c r="E106" s="112">
        <v>0.9</v>
      </c>
      <c r="F106" s="112" t="s">
        <v>182</v>
      </c>
      <c r="G106" s="112">
        <v>2.1</v>
      </c>
      <c r="H106" s="112">
        <v>2.7</v>
      </c>
    </row>
    <row r="107" spans="1:8" ht="10.5" customHeight="1" x14ac:dyDescent="0.15">
      <c r="A107" s="118"/>
      <c r="B107" s="112"/>
      <c r="C107" s="112"/>
      <c r="D107" s="112"/>
      <c r="E107" s="112"/>
      <c r="F107" s="112"/>
      <c r="G107" s="112"/>
      <c r="H107" s="112"/>
    </row>
    <row r="108" spans="1:8" ht="10.5" customHeight="1" x14ac:dyDescent="0.15">
      <c r="A108" s="149" t="s">
        <v>487</v>
      </c>
      <c r="B108" s="112"/>
      <c r="C108" s="112"/>
      <c r="D108" s="112"/>
      <c r="E108" s="112"/>
      <c r="F108" s="112"/>
      <c r="G108" s="112"/>
      <c r="H108" s="112"/>
    </row>
    <row r="109" spans="1:8" ht="10.5" customHeight="1" x14ac:dyDescent="0.15">
      <c r="A109" s="143" t="s">
        <v>488</v>
      </c>
      <c r="B109" s="112">
        <v>16.600000000000001</v>
      </c>
      <c r="C109" s="112">
        <v>16.600000000000001</v>
      </c>
      <c r="D109" s="112">
        <v>9.9</v>
      </c>
      <c r="E109" s="112">
        <v>1.3</v>
      </c>
      <c r="F109" s="112">
        <v>0.4</v>
      </c>
      <c r="G109" s="112">
        <v>1.6</v>
      </c>
      <c r="H109" s="112">
        <v>1.3</v>
      </c>
    </row>
    <row r="110" spans="1:8" ht="10.5" customHeight="1" x14ac:dyDescent="0.15">
      <c r="A110" s="143" t="s">
        <v>489</v>
      </c>
      <c r="B110" s="112">
        <v>12.9</v>
      </c>
      <c r="C110" s="112">
        <v>12.9</v>
      </c>
      <c r="D110" s="112">
        <v>7.6</v>
      </c>
      <c r="E110" s="112">
        <v>0.8</v>
      </c>
      <c r="F110" s="112">
        <v>0.4</v>
      </c>
      <c r="G110" s="112">
        <v>1.5</v>
      </c>
      <c r="H110" s="112">
        <v>1</v>
      </c>
    </row>
    <row r="111" spans="1:8" ht="10.5" customHeight="1" x14ac:dyDescent="0.15">
      <c r="A111" s="143" t="s">
        <v>490</v>
      </c>
      <c r="B111" s="112">
        <v>81.5</v>
      </c>
      <c r="C111" s="112">
        <v>81.5</v>
      </c>
      <c r="D111" s="112">
        <v>51.9</v>
      </c>
      <c r="E111" s="112">
        <v>6.3</v>
      </c>
      <c r="F111" s="112">
        <v>0.9</v>
      </c>
      <c r="G111" s="112">
        <v>9.5</v>
      </c>
      <c r="H111" s="112">
        <v>12.2</v>
      </c>
    </row>
    <row r="112" spans="1:8" ht="10.5" customHeight="1" x14ac:dyDescent="0.15">
      <c r="A112" s="143"/>
      <c r="B112" s="112"/>
      <c r="C112" s="112"/>
      <c r="D112" s="112"/>
      <c r="E112" s="112"/>
      <c r="F112" s="112"/>
      <c r="G112" s="112"/>
      <c r="H112" s="112"/>
    </row>
    <row r="113" spans="1:8" ht="14.25" customHeight="1" x14ac:dyDescent="0.15">
      <c r="A113" s="115" t="s">
        <v>491</v>
      </c>
      <c r="B113" s="112"/>
      <c r="C113" s="112"/>
      <c r="D113" s="112"/>
      <c r="E113" s="112"/>
      <c r="F113" s="112"/>
      <c r="G113" s="112"/>
      <c r="H113" s="112"/>
    </row>
    <row r="114" spans="1:8" ht="10.5" customHeight="1" x14ac:dyDescent="0.15">
      <c r="A114" s="143" t="s">
        <v>492</v>
      </c>
      <c r="B114" s="112">
        <v>38.6</v>
      </c>
      <c r="C114" s="112">
        <v>38.6</v>
      </c>
      <c r="D114" s="112">
        <v>23.1</v>
      </c>
      <c r="E114" s="112">
        <v>3.3</v>
      </c>
      <c r="F114" s="112">
        <v>0.9</v>
      </c>
      <c r="G114" s="112">
        <v>3.9</v>
      </c>
      <c r="H114" s="112">
        <v>3.3</v>
      </c>
    </row>
    <row r="115" spans="1:8" ht="10.5" customHeight="1" x14ac:dyDescent="0.15">
      <c r="A115" s="143" t="s">
        <v>493</v>
      </c>
      <c r="B115" s="112">
        <v>72.5</v>
      </c>
      <c r="C115" s="112">
        <v>72.5</v>
      </c>
      <c r="D115" s="112">
        <v>46.3</v>
      </c>
      <c r="E115" s="112">
        <v>5.0999999999999996</v>
      </c>
      <c r="F115" s="112">
        <v>0.8</v>
      </c>
      <c r="G115" s="112">
        <v>8.6999999999999993</v>
      </c>
      <c r="H115" s="112">
        <v>11.1</v>
      </c>
    </row>
    <row r="116" spans="1:8" ht="10.5" customHeight="1" x14ac:dyDescent="0.15">
      <c r="A116" s="143"/>
      <c r="B116" s="112"/>
      <c r="C116" s="112"/>
      <c r="D116" s="112"/>
      <c r="E116" s="112"/>
      <c r="F116" s="112"/>
      <c r="G116" s="112"/>
      <c r="H116" s="112"/>
    </row>
    <row r="117" spans="1:8" ht="10.5" customHeight="1" x14ac:dyDescent="0.15">
      <c r="A117" s="145" t="s">
        <v>494</v>
      </c>
      <c r="B117" s="112"/>
      <c r="C117" s="112"/>
      <c r="D117" s="112"/>
      <c r="E117" s="112"/>
      <c r="F117" s="112"/>
      <c r="G117" s="112"/>
      <c r="H117" s="112"/>
    </row>
    <row r="118" spans="1:8" ht="10.5" customHeight="1" x14ac:dyDescent="0.15">
      <c r="A118" s="143" t="s">
        <v>495</v>
      </c>
      <c r="B118" s="112">
        <v>97.5</v>
      </c>
      <c r="C118" s="112">
        <v>97.5</v>
      </c>
      <c r="D118" s="112">
        <v>58.9</v>
      </c>
      <c r="E118" s="112">
        <v>6.8</v>
      </c>
      <c r="F118" s="112">
        <v>1.5</v>
      </c>
      <c r="G118" s="112">
        <v>11.6</v>
      </c>
      <c r="H118" s="112">
        <v>13.9</v>
      </c>
    </row>
    <row r="119" spans="1:8" ht="10.5" customHeight="1" x14ac:dyDescent="0.15">
      <c r="A119" s="143" t="s">
        <v>496</v>
      </c>
      <c r="B119" s="112">
        <v>7.6</v>
      </c>
      <c r="C119" s="112">
        <v>7.6</v>
      </c>
      <c r="D119" s="112">
        <v>6.2</v>
      </c>
      <c r="E119" s="112">
        <v>1</v>
      </c>
      <c r="F119" s="112" t="s">
        <v>182</v>
      </c>
      <c r="G119" s="112">
        <v>0.6</v>
      </c>
      <c r="H119" s="112">
        <v>0.3</v>
      </c>
    </row>
    <row r="120" spans="1:8" ht="10.5" customHeight="1" x14ac:dyDescent="0.15">
      <c r="A120" s="143" t="s">
        <v>497</v>
      </c>
      <c r="B120" s="112">
        <v>4.7</v>
      </c>
      <c r="C120" s="112">
        <v>4.7</v>
      </c>
      <c r="D120" s="112">
        <v>3.5</v>
      </c>
      <c r="E120" s="112">
        <v>0.5</v>
      </c>
      <c r="F120" s="112" t="s">
        <v>182</v>
      </c>
      <c r="G120" s="112" t="s">
        <v>182</v>
      </c>
      <c r="H120" s="112" t="s">
        <v>182</v>
      </c>
    </row>
    <row r="121" spans="1:8" ht="10.5" customHeight="1" x14ac:dyDescent="0.15">
      <c r="A121" s="143" t="s">
        <v>498</v>
      </c>
      <c r="B121" s="112">
        <v>1.3</v>
      </c>
      <c r="C121" s="112">
        <v>1.3</v>
      </c>
      <c r="D121" s="112">
        <v>0.8</v>
      </c>
      <c r="E121" s="112" t="s">
        <v>182</v>
      </c>
      <c r="F121" s="112" t="s">
        <v>419</v>
      </c>
      <c r="G121" s="112">
        <v>0.1</v>
      </c>
      <c r="H121" s="112">
        <v>0.1</v>
      </c>
    </row>
    <row r="122" spans="1:8" ht="10.5" customHeight="1" x14ac:dyDescent="0.15">
      <c r="A122" s="143"/>
      <c r="B122" s="112"/>
      <c r="C122" s="112"/>
      <c r="D122" s="112"/>
      <c r="E122" s="112"/>
      <c r="F122" s="112"/>
      <c r="G122" s="112"/>
      <c r="H122" s="112"/>
    </row>
    <row r="123" spans="1:8" ht="10.5" customHeight="1" x14ac:dyDescent="0.15">
      <c r="A123" s="115" t="s">
        <v>499</v>
      </c>
      <c r="B123" s="112"/>
      <c r="C123" s="112"/>
      <c r="D123" s="112"/>
      <c r="E123" s="112"/>
      <c r="F123" s="112"/>
      <c r="G123" s="112"/>
      <c r="H123" s="112"/>
    </row>
    <row r="124" spans="1:8" ht="10.5" customHeight="1" x14ac:dyDescent="0.15">
      <c r="A124" s="143" t="s">
        <v>500</v>
      </c>
      <c r="B124" s="112">
        <v>14.8</v>
      </c>
      <c r="C124" s="112">
        <v>14.8</v>
      </c>
      <c r="D124" s="112">
        <v>9.6999999999999993</v>
      </c>
      <c r="E124" s="112">
        <v>1.1000000000000001</v>
      </c>
      <c r="F124" s="112" t="s">
        <v>182</v>
      </c>
      <c r="G124" s="112">
        <v>1.3</v>
      </c>
      <c r="H124" s="112">
        <v>1.1000000000000001</v>
      </c>
    </row>
    <row r="125" spans="1:8" ht="10.5" customHeight="1" x14ac:dyDescent="0.15">
      <c r="A125" s="143" t="s">
        <v>501</v>
      </c>
      <c r="B125" s="112">
        <v>96.3</v>
      </c>
      <c r="C125" s="112">
        <v>96.3</v>
      </c>
      <c r="D125" s="112">
        <v>59.7</v>
      </c>
      <c r="E125" s="112">
        <v>7.3</v>
      </c>
      <c r="F125" s="112">
        <v>1.6</v>
      </c>
      <c r="G125" s="112">
        <v>11.3</v>
      </c>
      <c r="H125" s="112">
        <v>13.3</v>
      </c>
    </row>
    <row r="126" spans="1:8" ht="10.5" customHeight="1" x14ac:dyDescent="0.15">
      <c r="A126" s="92"/>
      <c r="B126" s="112"/>
      <c r="C126" s="112"/>
      <c r="D126" s="112"/>
      <c r="E126" s="112"/>
      <c r="F126" s="112"/>
      <c r="G126" s="112"/>
      <c r="H126" s="112"/>
    </row>
    <row r="127" spans="1:8" ht="14.25" customHeight="1" x14ac:dyDescent="0.15">
      <c r="A127" s="115" t="s">
        <v>502</v>
      </c>
      <c r="B127" s="112"/>
      <c r="C127" s="112"/>
      <c r="D127" s="112"/>
      <c r="E127" s="112"/>
      <c r="F127" s="112"/>
      <c r="G127" s="112"/>
      <c r="H127" s="112"/>
    </row>
    <row r="128" spans="1:8" ht="10.5" customHeight="1" x14ac:dyDescent="0.15">
      <c r="A128" s="143" t="s">
        <v>503</v>
      </c>
      <c r="B128" s="112">
        <v>79.099999999999994</v>
      </c>
      <c r="C128" s="112">
        <v>79.099999999999994</v>
      </c>
      <c r="D128" s="112">
        <v>48</v>
      </c>
      <c r="E128" s="112">
        <v>6.5</v>
      </c>
      <c r="F128" s="112">
        <v>1.2</v>
      </c>
      <c r="G128" s="112">
        <v>10.6</v>
      </c>
      <c r="H128" s="112">
        <v>12.2</v>
      </c>
    </row>
    <row r="129" spans="1:8" ht="10.5" customHeight="1" x14ac:dyDescent="0.15">
      <c r="A129" s="144" t="s">
        <v>504</v>
      </c>
      <c r="B129" s="112">
        <v>5</v>
      </c>
      <c r="C129" s="112">
        <v>5</v>
      </c>
      <c r="D129" s="112">
        <v>3</v>
      </c>
      <c r="E129" s="112">
        <v>0.3</v>
      </c>
      <c r="F129" s="112" t="s">
        <v>182</v>
      </c>
      <c r="G129" s="112">
        <v>0.6</v>
      </c>
      <c r="H129" s="112">
        <v>0.4</v>
      </c>
    </row>
    <row r="130" spans="1:8" ht="10.5" customHeight="1" x14ac:dyDescent="0.15">
      <c r="A130" s="144" t="s">
        <v>505</v>
      </c>
      <c r="B130" s="112">
        <v>74.099999999999994</v>
      </c>
      <c r="C130" s="112">
        <v>74.099999999999994</v>
      </c>
      <c r="D130" s="112">
        <v>44.9</v>
      </c>
      <c r="E130" s="112">
        <v>6.2</v>
      </c>
      <c r="F130" s="112">
        <v>1.2</v>
      </c>
      <c r="G130" s="112">
        <v>10</v>
      </c>
      <c r="H130" s="112">
        <v>11.8</v>
      </c>
    </row>
    <row r="131" spans="1:8" ht="10.5" customHeight="1" x14ac:dyDescent="0.15">
      <c r="A131" s="143" t="s">
        <v>506</v>
      </c>
      <c r="B131" s="112">
        <v>13.4</v>
      </c>
      <c r="C131" s="112">
        <v>13.4</v>
      </c>
      <c r="D131" s="112">
        <v>8.6</v>
      </c>
      <c r="E131" s="112">
        <v>0.7</v>
      </c>
      <c r="F131" s="112">
        <v>0.4</v>
      </c>
      <c r="G131" s="112">
        <v>0.8</v>
      </c>
      <c r="H131" s="112">
        <v>0.9</v>
      </c>
    </row>
    <row r="132" spans="1:8" ht="10.5" customHeight="1" x14ac:dyDescent="0.15">
      <c r="A132" s="144" t="s">
        <v>504</v>
      </c>
      <c r="B132" s="112">
        <v>0.3</v>
      </c>
      <c r="C132" s="112">
        <v>0.3</v>
      </c>
      <c r="D132" s="112">
        <v>0.3</v>
      </c>
      <c r="E132" s="112" t="s">
        <v>182</v>
      </c>
      <c r="F132" s="112" t="s">
        <v>419</v>
      </c>
      <c r="G132" s="112" t="s">
        <v>182</v>
      </c>
      <c r="H132" s="112" t="s">
        <v>182</v>
      </c>
    </row>
    <row r="133" spans="1:8" ht="10.5" customHeight="1" x14ac:dyDescent="0.15">
      <c r="A133" s="144" t="s">
        <v>505</v>
      </c>
      <c r="B133" s="112">
        <v>13.1</v>
      </c>
      <c r="C133" s="112">
        <v>13.1</v>
      </c>
      <c r="D133" s="112">
        <v>8.4</v>
      </c>
      <c r="E133" s="112">
        <v>0.6</v>
      </c>
      <c r="F133" s="112">
        <v>0.4</v>
      </c>
      <c r="G133" s="112">
        <v>0.8</v>
      </c>
      <c r="H133" s="112">
        <v>0.8</v>
      </c>
    </row>
    <row r="134" spans="1:8" ht="10.5" customHeight="1" x14ac:dyDescent="0.15">
      <c r="A134" s="143" t="s">
        <v>507</v>
      </c>
      <c r="B134" s="112">
        <v>3.3</v>
      </c>
      <c r="C134" s="112">
        <v>3.3</v>
      </c>
      <c r="D134" s="112">
        <v>2.5</v>
      </c>
      <c r="E134" s="112" t="s">
        <v>182</v>
      </c>
      <c r="F134" s="112" t="s">
        <v>419</v>
      </c>
      <c r="G134" s="112" t="s">
        <v>182</v>
      </c>
      <c r="H134" s="112" t="s">
        <v>182</v>
      </c>
    </row>
    <row r="135" spans="1:8" ht="10.5" customHeight="1" x14ac:dyDescent="0.15">
      <c r="A135" s="143" t="s">
        <v>508</v>
      </c>
      <c r="B135" s="112">
        <v>1.3</v>
      </c>
      <c r="C135" s="112">
        <v>1.3</v>
      </c>
      <c r="D135" s="112">
        <v>0.9</v>
      </c>
      <c r="E135" s="112" t="s">
        <v>182</v>
      </c>
      <c r="F135" s="112" t="s">
        <v>182</v>
      </c>
      <c r="G135" s="112" t="s">
        <v>182</v>
      </c>
      <c r="H135" s="112" t="s">
        <v>182</v>
      </c>
    </row>
    <row r="136" spans="1:8" ht="10.5" customHeight="1" x14ac:dyDescent="0.15">
      <c r="A136" s="143" t="s">
        <v>37</v>
      </c>
      <c r="B136" s="112">
        <v>7.1</v>
      </c>
      <c r="C136" s="112">
        <v>7.1</v>
      </c>
      <c r="D136" s="112">
        <v>5.2</v>
      </c>
      <c r="E136" s="112">
        <v>0.5</v>
      </c>
      <c r="F136" s="112" t="s">
        <v>182</v>
      </c>
      <c r="G136" s="112">
        <v>0.6</v>
      </c>
      <c r="H136" s="112">
        <v>0.7</v>
      </c>
    </row>
    <row r="137" spans="1:8" ht="10.5" customHeight="1" x14ac:dyDescent="0.15">
      <c r="A137" s="143" t="s">
        <v>509</v>
      </c>
      <c r="B137" s="112">
        <v>6.9</v>
      </c>
      <c r="C137" s="112">
        <v>6.9</v>
      </c>
      <c r="D137" s="112">
        <v>4.3</v>
      </c>
      <c r="E137" s="112">
        <v>0.6</v>
      </c>
      <c r="F137" s="112" t="s">
        <v>419</v>
      </c>
      <c r="G137" s="112">
        <v>0.4</v>
      </c>
      <c r="H137" s="112">
        <v>0.4</v>
      </c>
    </row>
    <row r="138" spans="1:8" ht="10.5" customHeight="1" x14ac:dyDescent="0.15">
      <c r="A138" s="159"/>
      <c r="B138" s="160"/>
      <c r="C138" s="160"/>
      <c r="D138" s="160"/>
      <c r="E138" s="160"/>
      <c r="F138" s="160"/>
      <c r="G138" s="160"/>
      <c r="H138" s="160"/>
    </row>
    <row r="139" spans="1:8" ht="12.75" customHeight="1" x14ac:dyDescent="0.15">
      <c r="A139" s="1382" t="s">
        <v>514</v>
      </c>
      <c r="B139" s="1382"/>
      <c r="C139" s="1382"/>
      <c r="D139" s="1382"/>
      <c r="E139" s="1382"/>
      <c r="F139" s="1382"/>
      <c r="G139" s="1382"/>
      <c r="H139" s="1382"/>
    </row>
    <row r="140" spans="1:8" x14ac:dyDescent="0.15">
      <c r="A140" s="1382"/>
      <c r="B140" s="1382"/>
      <c r="C140" s="1382"/>
      <c r="D140" s="1382"/>
      <c r="E140" s="1382"/>
      <c r="F140" s="1382"/>
      <c r="G140" s="1382"/>
      <c r="H140" s="1382"/>
    </row>
    <row r="141" spans="1:8" x14ac:dyDescent="0.15">
      <c r="A141" s="1382"/>
      <c r="B141" s="1382"/>
      <c r="C141" s="1382"/>
      <c r="D141" s="1382"/>
      <c r="E141" s="1382"/>
      <c r="F141" s="1382"/>
      <c r="G141" s="1382"/>
      <c r="H141" s="1382"/>
    </row>
    <row r="142" spans="1:8" x14ac:dyDescent="0.15">
      <c r="A142" s="1401"/>
      <c r="B142" s="1401"/>
      <c r="C142" s="1401"/>
      <c r="D142" s="1401"/>
      <c r="E142" s="1401"/>
      <c r="F142" s="1401"/>
      <c r="G142" s="1401"/>
      <c r="H142" s="1401"/>
    </row>
    <row r="143" spans="1:8" x14ac:dyDescent="0.15">
      <c r="A143" s="1401"/>
      <c r="B143" s="1401"/>
      <c r="C143" s="1401"/>
      <c r="D143" s="1401"/>
      <c r="E143" s="1401"/>
      <c r="F143" s="1401"/>
      <c r="G143" s="1401"/>
      <c r="H143" s="1401"/>
    </row>
    <row r="144" spans="1:8" x14ac:dyDescent="0.15">
      <c r="A144" s="1401"/>
      <c r="B144" s="1401"/>
      <c r="C144" s="1401"/>
      <c r="D144" s="1401"/>
      <c r="E144" s="1401"/>
      <c r="F144" s="1401"/>
      <c r="G144" s="1401"/>
      <c r="H144" s="1401"/>
    </row>
    <row r="145" spans="1:8" x14ac:dyDescent="0.15">
      <c r="A145" s="1401"/>
      <c r="B145" s="1401"/>
      <c r="C145" s="1401"/>
      <c r="D145" s="1401"/>
      <c r="E145" s="1401"/>
      <c r="F145" s="1401"/>
      <c r="G145" s="1401"/>
      <c r="H145" s="1401"/>
    </row>
    <row r="146" spans="1:8" x14ac:dyDescent="0.15">
      <c r="A146" s="1401"/>
      <c r="B146" s="1401"/>
      <c r="C146" s="1401"/>
      <c r="D146" s="1401"/>
      <c r="E146" s="1401"/>
      <c r="F146" s="1401"/>
      <c r="G146" s="1401"/>
      <c r="H146" s="1401"/>
    </row>
    <row r="147" spans="1:8" x14ac:dyDescent="0.15">
      <c r="A147" s="1401"/>
      <c r="B147" s="1401"/>
      <c r="C147" s="1401"/>
      <c r="D147" s="1401"/>
      <c r="E147" s="1401"/>
      <c r="F147" s="1401"/>
      <c r="G147" s="1401"/>
      <c r="H147" s="1401"/>
    </row>
    <row r="148" spans="1:8" x14ac:dyDescent="0.15">
      <c r="A148" s="1401"/>
      <c r="B148" s="1401"/>
      <c r="C148" s="1401"/>
      <c r="D148" s="1401"/>
      <c r="E148" s="1401"/>
      <c r="F148" s="1401"/>
      <c r="G148" s="1401"/>
      <c r="H148" s="1401"/>
    </row>
    <row r="149" spans="1:8" x14ac:dyDescent="0.15">
      <c r="A149" s="1401"/>
      <c r="B149" s="1401"/>
      <c r="C149" s="1401"/>
      <c r="D149" s="1401"/>
      <c r="E149" s="1401"/>
      <c r="F149" s="1401"/>
      <c r="G149" s="1401"/>
      <c r="H149" s="1401"/>
    </row>
    <row r="150" spans="1:8" x14ac:dyDescent="0.15">
      <c r="A150" s="1401"/>
      <c r="B150" s="1401"/>
      <c r="C150" s="1401"/>
      <c r="D150" s="1401"/>
      <c r="E150" s="1401"/>
      <c r="F150" s="1401"/>
      <c r="G150" s="1401"/>
      <c r="H150" s="1401"/>
    </row>
    <row r="151" spans="1:8" x14ac:dyDescent="0.15">
      <c r="A151" s="1401"/>
      <c r="B151" s="1401"/>
      <c r="C151" s="1401"/>
      <c r="D151" s="1401"/>
      <c r="E151" s="1401"/>
      <c r="F151" s="1401"/>
      <c r="G151" s="1401"/>
      <c r="H151" s="1401"/>
    </row>
    <row r="152" spans="1:8" x14ac:dyDescent="0.15">
      <c r="A152" s="1401"/>
      <c r="B152" s="1401"/>
      <c r="C152" s="1401"/>
      <c r="D152" s="1401"/>
      <c r="E152" s="1401"/>
      <c r="F152" s="1401"/>
      <c r="G152" s="1401"/>
      <c r="H152" s="1401"/>
    </row>
    <row r="153" spans="1:8" x14ac:dyDescent="0.15">
      <c r="A153" s="1401"/>
      <c r="B153" s="1401"/>
      <c r="C153" s="1401"/>
      <c r="D153" s="1401"/>
      <c r="E153" s="1401"/>
      <c r="F153" s="1401"/>
      <c r="G153" s="1401"/>
      <c r="H153" s="1401"/>
    </row>
    <row r="154" spans="1:8" x14ac:dyDescent="0.15">
      <c r="A154" s="1401"/>
      <c r="B154" s="1401"/>
      <c r="C154" s="1401"/>
      <c r="D154" s="1401"/>
      <c r="E154" s="1401"/>
      <c r="F154" s="1401"/>
      <c r="G154" s="1401"/>
      <c r="H154" s="1401"/>
    </row>
    <row r="155" spans="1:8" x14ac:dyDescent="0.15">
      <c r="A155" s="1401"/>
      <c r="B155" s="1401"/>
      <c r="C155" s="1401"/>
      <c r="D155" s="1401"/>
      <c r="E155" s="1401"/>
      <c r="F155" s="1401"/>
      <c r="G155" s="1401"/>
      <c r="H155" s="1401"/>
    </row>
    <row r="156" spans="1:8" x14ac:dyDescent="0.15">
      <c r="A156" s="1401"/>
      <c r="B156" s="1401"/>
      <c r="C156" s="1401"/>
      <c r="D156" s="1401"/>
      <c r="E156" s="1401"/>
      <c r="F156" s="1401"/>
      <c r="G156" s="1401"/>
      <c r="H156" s="1401"/>
    </row>
    <row r="157" spans="1:8" x14ac:dyDescent="0.15">
      <c r="A157" s="1401"/>
      <c r="B157" s="1401"/>
      <c r="C157" s="1401"/>
      <c r="D157" s="1401"/>
      <c r="E157" s="1401"/>
      <c r="F157" s="1401"/>
      <c r="G157" s="1401"/>
      <c r="H157" s="1401"/>
    </row>
    <row r="158" spans="1:8" x14ac:dyDescent="0.15">
      <c r="A158" s="154"/>
      <c r="B158" s="155"/>
      <c r="C158" s="155"/>
      <c r="D158" s="155"/>
      <c r="E158" s="155"/>
      <c r="F158" s="155"/>
      <c r="G158" s="155"/>
      <c r="H158" s="155"/>
    </row>
    <row r="159" spans="1:8" x14ac:dyDescent="0.15">
      <c r="A159" s="154"/>
      <c r="B159" s="155"/>
      <c r="C159" s="155"/>
      <c r="D159" s="155"/>
      <c r="E159" s="155"/>
      <c r="F159" s="155"/>
      <c r="G159" s="155"/>
      <c r="H159" s="155"/>
    </row>
    <row r="160" spans="1:8" x14ac:dyDescent="0.15">
      <c r="A160" s="154"/>
      <c r="B160" s="155"/>
      <c r="C160" s="155"/>
      <c r="D160" s="155"/>
      <c r="E160" s="155"/>
      <c r="F160" s="155"/>
      <c r="G160" s="155"/>
      <c r="H160" s="155"/>
    </row>
    <row r="161" spans="1:8" x14ac:dyDescent="0.15">
      <c r="A161" s="154"/>
      <c r="B161" s="155"/>
      <c r="C161" s="155"/>
      <c r="D161" s="155"/>
      <c r="E161" s="155"/>
      <c r="F161" s="155"/>
      <c r="G161" s="155"/>
      <c r="H161" s="155"/>
    </row>
    <row r="162" spans="1:8" x14ac:dyDescent="0.15">
      <c r="A162" s="154"/>
      <c r="B162" s="155"/>
      <c r="C162" s="155"/>
      <c r="D162" s="155"/>
      <c r="E162" s="155"/>
      <c r="F162" s="155"/>
      <c r="G162" s="155"/>
      <c r="H162" s="155"/>
    </row>
    <row r="163" spans="1:8" x14ac:dyDescent="0.15">
      <c r="A163" s="154"/>
      <c r="B163" s="155"/>
      <c r="C163" s="155"/>
      <c r="D163" s="155"/>
      <c r="E163" s="155"/>
      <c r="F163" s="155"/>
      <c r="G163" s="155"/>
      <c r="H163" s="155"/>
    </row>
    <row r="164" spans="1:8" x14ac:dyDescent="0.15">
      <c r="A164" s="154"/>
      <c r="B164" s="155"/>
      <c r="C164" s="155"/>
      <c r="D164" s="155"/>
      <c r="E164" s="155"/>
      <c r="F164" s="155"/>
      <c r="G164" s="155"/>
      <c r="H164" s="155"/>
    </row>
    <row r="165" spans="1:8" x14ac:dyDescent="0.15">
      <c r="A165" s="154"/>
      <c r="B165" s="155"/>
      <c r="C165" s="155"/>
      <c r="D165" s="155"/>
      <c r="E165" s="155"/>
      <c r="F165" s="155"/>
      <c r="G165" s="155"/>
      <c r="H165" s="155"/>
    </row>
    <row r="166" spans="1:8" x14ac:dyDescent="0.15">
      <c r="A166" s="154"/>
      <c r="B166" s="155"/>
      <c r="C166" s="155"/>
      <c r="D166" s="155"/>
      <c r="E166" s="155"/>
      <c r="F166" s="155"/>
      <c r="G166" s="155"/>
      <c r="H166" s="155"/>
    </row>
    <row r="167" spans="1:8" x14ac:dyDescent="0.15">
      <c r="A167" s="154"/>
      <c r="B167" s="155"/>
      <c r="C167" s="155"/>
      <c r="D167" s="155"/>
      <c r="E167" s="155"/>
      <c r="F167" s="155"/>
      <c r="G167" s="155"/>
      <c r="H167" s="155"/>
    </row>
    <row r="168" spans="1:8" x14ac:dyDescent="0.15">
      <c r="A168" s="154"/>
      <c r="B168" s="155"/>
      <c r="C168" s="155"/>
      <c r="D168" s="155"/>
      <c r="E168" s="155"/>
      <c r="F168" s="155"/>
      <c r="G168" s="155"/>
      <c r="H168" s="155"/>
    </row>
    <row r="169" spans="1:8" x14ac:dyDescent="0.15">
      <c r="A169" s="154"/>
      <c r="B169" s="155"/>
      <c r="C169" s="155"/>
      <c r="D169" s="155"/>
      <c r="E169" s="155"/>
      <c r="F169" s="155"/>
      <c r="G169" s="155"/>
      <c r="H169" s="155"/>
    </row>
    <row r="170" spans="1:8" x14ac:dyDescent="0.15">
      <c r="A170" s="154"/>
      <c r="B170" s="155"/>
      <c r="C170" s="155"/>
      <c r="D170" s="155"/>
      <c r="E170" s="155"/>
      <c r="F170" s="155"/>
      <c r="G170" s="155"/>
      <c r="H170" s="155"/>
    </row>
    <row r="171" spans="1:8" x14ac:dyDescent="0.15">
      <c r="A171" s="154"/>
      <c r="B171" s="155"/>
      <c r="C171" s="155"/>
      <c r="D171" s="155"/>
      <c r="E171" s="155"/>
      <c r="F171" s="155"/>
      <c r="G171" s="155"/>
      <c r="H171" s="155"/>
    </row>
    <row r="172" spans="1:8" x14ac:dyDescent="0.15">
      <c r="A172" s="154"/>
      <c r="B172" s="155"/>
      <c r="C172" s="155"/>
      <c r="D172" s="155"/>
      <c r="E172" s="155"/>
      <c r="F172" s="155"/>
      <c r="G172" s="155"/>
      <c r="H172" s="155"/>
    </row>
    <row r="173" spans="1:8" x14ac:dyDescent="0.15">
      <c r="A173" s="154"/>
      <c r="B173" s="155"/>
      <c r="C173" s="155"/>
      <c r="D173" s="155"/>
      <c r="E173" s="155"/>
      <c r="F173" s="155"/>
      <c r="G173" s="155"/>
      <c r="H173" s="155"/>
    </row>
    <row r="174" spans="1:8" x14ac:dyDescent="0.15">
      <c r="A174" s="154"/>
      <c r="B174" s="155"/>
      <c r="C174" s="155"/>
      <c r="D174" s="155"/>
      <c r="E174" s="155"/>
      <c r="F174" s="155"/>
      <c r="G174" s="155"/>
      <c r="H174" s="155"/>
    </row>
  </sheetData>
  <mergeCells count="10">
    <mergeCell ref="A139:H157"/>
    <mergeCell ref="A1:H2"/>
    <mergeCell ref="B3:B6"/>
    <mergeCell ref="C3:H4"/>
    <mergeCell ref="C5:C6"/>
    <mergeCell ref="D5:D6"/>
    <mergeCell ref="E5:E6"/>
    <mergeCell ref="F5:F6"/>
    <mergeCell ref="G5:G6"/>
    <mergeCell ref="H5:H6"/>
  </mergeCells>
  <printOptions horizontalCentered="1"/>
  <pageMargins left="0.75" right="0.75" top="0.5" bottom="0.25" header="0.75" footer="0.25"/>
  <pageSetup orientation="landscape" r:id="rId1"/>
  <headerFooter alignWithMargins="0">
    <oddFooter>&amp;C&amp;"Arial,Bold"&amp;8Energy Information Administration
2005 Residential Energy Consumption Survey:  Energy Consumption and Expenditures Tables</oddFooter>
  </headerFooter>
  <rowBreaks count="4" manualBreakCount="4">
    <brk id="46" max="7" man="1"/>
    <brk id="88" max="7" man="1"/>
    <brk id="122" max="7" man="1"/>
    <brk id="149"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47"/>
  <sheetViews>
    <sheetView workbookViewId="0">
      <selection activeCell="J35" sqref="J35"/>
    </sheetView>
  </sheetViews>
  <sheetFormatPr baseColWidth="10" defaultColWidth="8.83203125" defaultRowHeight="13" x14ac:dyDescent="0.15"/>
  <cols>
    <col min="1" max="1" width="6" style="43" customWidth="1"/>
    <col min="2" max="2" width="32.5" style="43" bestFit="1" customWidth="1"/>
    <col min="3" max="3" width="12.33203125" style="46" bestFit="1" customWidth="1"/>
    <col min="4" max="4" width="24.5" style="46" bestFit="1" customWidth="1"/>
    <col min="5" max="5" width="16.83203125" style="46" customWidth="1"/>
    <col min="6" max="6" width="12.33203125" style="46" customWidth="1"/>
    <col min="7" max="7" width="13.1640625" style="43" bestFit="1" customWidth="1"/>
    <col min="8" max="8" width="13" style="43" bestFit="1" customWidth="1"/>
    <col min="9" max="9" width="13.1640625" style="43" customWidth="1"/>
    <col min="10" max="10" width="13" style="43" bestFit="1" customWidth="1"/>
    <col min="11" max="11" width="15.5" style="43" bestFit="1" customWidth="1"/>
    <col min="12" max="14" width="13" style="43" bestFit="1" customWidth="1"/>
    <col min="15" max="15" width="13.6640625" style="43" bestFit="1" customWidth="1"/>
    <col min="16" max="20" width="13" style="43" bestFit="1" customWidth="1"/>
    <col min="21" max="21" width="13" style="43" customWidth="1"/>
    <col min="22" max="22" width="13.33203125" style="43" bestFit="1" customWidth="1"/>
    <col min="23" max="23" width="14" style="43" bestFit="1" customWidth="1"/>
    <col min="24" max="16384" width="8.83203125" style="43"/>
  </cols>
  <sheetData>
    <row r="1" spans="1:23" ht="23" x14ac:dyDescent="0.25">
      <c r="A1" s="41" t="s">
        <v>72</v>
      </c>
      <c r="B1" s="42"/>
      <c r="C1" s="42"/>
      <c r="D1" s="42"/>
      <c r="E1" s="42"/>
      <c r="F1" s="42"/>
      <c r="G1" s="42"/>
      <c r="H1" s="42"/>
      <c r="I1" s="42"/>
      <c r="J1" s="42"/>
      <c r="K1" s="42"/>
      <c r="L1" s="42"/>
      <c r="M1" s="42"/>
      <c r="N1" s="42"/>
      <c r="O1" s="42"/>
      <c r="P1" s="42"/>
      <c r="Q1" s="42"/>
      <c r="R1" s="42"/>
      <c r="S1" s="42"/>
      <c r="T1" s="42"/>
      <c r="U1" s="42"/>
    </row>
    <row r="2" spans="1:23" ht="18" x14ac:dyDescent="0.2">
      <c r="A2" s="44" t="s">
        <v>39</v>
      </c>
      <c r="B2" s="45"/>
      <c r="C2" s="45"/>
      <c r="E2" s="9"/>
      <c r="H2" s="45"/>
      <c r="I2" s="45"/>
      <c r="J2" s="45"/>
      <c r="K2" s="45"/>
      <c r="L2" s="45"/>
      <c r="M2" s="45"/>
      <c r="N2" s="45"/>
      <c r="O2" s="45"/>
      <c r="P2" s="45"/>
      <c r="Q2" s="45"/>
      <c r="R2" s="45"/>
      <c r="S2" s="45"/>
      <c r="T2" s="45"/>
      <c r="U2" s="45"/>
      <c r="V2" s="45"/>
      <c r="W2" s="45"/>
    </row>
    <row r="3" spans="1:23" ht="14" thickBot="1" x14ac:dyDescent="0.2">
      <c r="A3" s="43" t="s">
        <v>73</v>
      </c>
      <c r="E3" s="101"/>
    </row>
    <row r="4" spans="1:23" s="54" customFormat="1" ht="26.25" customHeight="1" x14ac:dyDescent="0.2">
      <c r="A4" s="47"/>
      <c r="B4" s="48" t="s">
        <v>59</v>
      </c>
      <c r="C4" s="49" t="s">
        <v>60</v>
      </c>
      <c r="D4" s="50" t="s">
        <v>524</v>
      </c>
      <c r="E4" s="100" t="s">
        <v>377</v>
      </c>
      <c r="F4" s="87">
        <v>2013</v>
      </c>
      <c r="G4" s="88">
        <f t="shared" ref="G4:U4" si="0">F4+1</f>
        <v>2014</v>
      </c>
      <c r="H4" s="51">
        <f t="shared" si="0"/>
        <v>2015</v>
      </c>
      <c r="I4" s="51">
        <f t="shared" si="0"/>
        <v>2016</v>
      </c>
      <c r="J4" s="51">
        <f t="shared" si="0"/>
        <v>2017</v>
      </c>
      <c r="K4" s="51">
        <f t="shared" si="0"/>
        <v>2018</v>
      </c>
      <c r="L4" s="51">
        <f t="shared" si="0"/>
        <v>2019</v>
      </c>
      <c r="M4" s="51">
        <f t="shared" si="0"/>
        <v>2020</v>
      </c>
      <c r="N4" s="51">
        <f t="shared" si="0"/>
        <v>2021</v>
      </c>
      <c r="O4" s="51">
        <f t="shared" si="0"/>
        <v>2022</v>
      </c>
      <c r="P4" s="51">
        <f t="shared" si="0"/>
        <v>2023</v>
      </c>
      <c r="Q4" s="51">
        <f t="shared" si="0"/>
        <v>2024</v>
      </c>
      <c r="R4" s="51">
        <f t="shared" si="0"/>
        <v>2025</v>
      </c>
      <c r="S4" s="51">
        <f t="shared" si="0"/>
        <v>2026</v>
      </c>
      <c r="T4" s="51">
        <f t="shared" si="0"/>
        <v>2027</v>
      </c>
      <c r="U4" s="51">
        <f t="shared" si="0"/>
        <v>2028</v>
      </c>
      <c r="V4" s="52" t="s">
        <v>13</v>
      </c>
      <c r="W4" s="53" t="s">
        <v>62</v>
      </c>
    </row>
    <row r="5" spans="1:23" ht="12.75" customHeight="1" x14ac:dyDescent="0.15">
      <c r="A5" s="1412"/>
      <c r="B5" s="55" t="s">
        <v>64</v>
      </c>
      <c r="C5" s="56"/>
      <c r="D5" s="57" t="s">
        <v>526</v>
      </c>
      <c r="E5" s="169">
        <f>NGComm!J38</f>
        <v>5.2386752948193629E-2</v>
      </c>
      <c r="F5" s="90" t="e">
        <f>SUM('B.1 - Dev Pro Forma'!#REF!)*$E5*($K$12*(1+$K$14)^(F$4-$K$11))</f>
        <v>#REF!</v>
      </c>
      <c r="G5" s="89" t="e">
        <f>SUM('B.1 - Dev Pro Forma'!#REF!)*$E5*($K$12*(1+$K$14)^(G$4-$K$11))</f>
        <v>#REF!</v>
      </c>
      <c r="H5" s="58" t="e">
        <f>SUM('B.1 - Dev Pro Forma'!#REF!)*$E5*($K$12*(1+$K$14)^(H$4-$K$11))</f>
        <v>#REF!</v>
      </c>
      <c r="I5" s="58" t="e">
        <f>SUM('B.1 - Dev Pro Forma'!#REF!)*$E5*($K$12*(1+$K$14)^(I$4-$K$11))</f>
        <v>#REF!</v>
      </c>
      <c r="J5" s="58" t="e">
        <f>SUM('B.1 - Dev Pro Forma'!#REF!)*$E5*($K$12*(1+$K$14)^(J$4-$K$11))</f>
        <v>#REF!</v>
      </c>
      <c r="K5" s="58" t="e">
        <f>SUM('B.1 - Dev Pro Forma'!#REF!)*$E5*($K$12*(1+$K$14)^(K$4-$K$11))</f>
        <v>#REF!</v>
      </c>
      <c r="L5" s="58" t="e">
        <f>SUM('B.1 - Dev Pro Forma'!#REF!)*$E5*($K$12*(1+$K$14)^(L$4-$K$11))</f>
        <v>#REF!</v>
      </c>
      <c r="M5" s="58" t="e">
        <f>SUM('B.1 - Dev Pro Forma'!#REF!)*$E5*($K$12*(1+$K$14)^(M$4-$K$11))</f>
        <v>#REF!</v>
      </c>
      <c r="N5" s="58" t="e">
        <f>SUM('B.1 - Dev Pro Forma'!#REF!)*$E5*($K$12*(1+$K$14)^(N$4-$K$11))</f>
        <v>#REF!</v>
      </c>
      <c r="O5" s="58" t="e">
        <f>SUM('B.1 - Dev Pro Forma'!#REF!)*$E5*($K$12*(1+$K$14)^(O$4-$K$11))</f>
        <v>#REF!</v>
      </c>
      <c r="P5" s="58" t="e">
        <f>SUM('B.1 - Dev Pro Forma'!#REF!)*$E5*($K$12*(1+$K$14)^(P$4-$K$11))</f>
        <v>#REF!</v>
      </c>
      <c r="Q5" s="58" t="e">
        <f>SUM('B.1 - Dev Pro Forma'!#REF!)*$E5*($K$12*(1+$K$14)^(Q$4-$K$11))</f>
        <v>#REF!</v>
      </c>
      <c r="R5" s="58" t="e">
        <f>SUM('B.1 - Dev Pro Forma'!#REF!)*$E5*($K$12*(1+$K$14)^(R$4-$K$11))</f>
        <v>#REF!</v>
      </c>
      <c r="S5" s="58" t="e">
        <f>SUM('B.1 - Dev Pro Forma'!#REF!)*$E5*($K$12*(1+$K$14)^(S$4-$K$11))</f>
        <v>#REF!</v>
      </c>
      <c r="T5" s="58" t="e">
        <f>SUM('B.1 - Dev Pro Forma'!#REF!)*$E5*($K$12*(1+$K$14)^(T$4-$K$11))</f>
        <v>#REF!</v>
      </c>
      <c r="U5" s="58" t="e">
        <f>SUM('B.1 - Dev Pro Forma'!#REF!)*$E5*($K$12*(1+$K$14)^(U$4-$K$11))</f>
        <v>#REF!</v>
      </c>
      <c r="V5" s="59" t="e">
        <f>SUM(F5:U5)</f>
        <v>#REF!</v>
      </c>
      <c r="W5" s="60" t="e">
        <f>NPV($K$16,F5:U5)</f>
        <v>#REF!</v>
      </c>
    </row>
    <row r="6" spans="1:23" ht="12.75" customHeight="1" x14ac:dyDescent="0.15">
      <c r="A6" s="1413"/>
      <c r="B6" s="61" t="s">
        <v>65</v>
      </c>
      <c r="C6" s="62"/>
      <c r="D6" s="57" t="s">
        <v>527</v>
      </c>
      <c r="E6" s="57">
        <v>170</v>
      </c>
      <c r="F6" s="91" t="e">
        <f>SUM('B.1 - Dev Pro Forma'!#REF!)*$E6*($K$13*(1+$K$14)^(F$4-$K$11))</f>
        <v>#REF!</v>
      </c>
      <c r="G6" s="89" t="e">
        <f>SUM('B.1 - Dev Pro Forma'!#REF!)*$E6*($K$13*(1+$K$14)^(G$4-$K$11))</f>
        <v>#REF!</v>
      </c>
      <c r="H6" s="63" t="e">
        <f>SUM('B.1 - Dev Pro Forma'!#REF!)*$E6*($K$13*(1+$K$14)^(H$4-$K$11))</f>
        <v>#REF!</v>
      </c>
      <c r="I6" s="63" t="e">
        <f>SUM('B.1 - Dev Pro Forma'!#REF!)*$E6*($K$13*(1+$K$14)^(I$4-$K$11))</f>
        <v>#REF!</v>
      </c>
      <c r="J6" s="63" t="e">
        <f>SUM('B.1 - Dev Pro Forma'!#REF!)*$E6*($K$13*(1+$K$14)^(J$4-$K$11))</f>
        <v>#REF!</v>
      </c>
      <c r="K6" s="63" t="e">
        <f>SUM('B.1 - Dev Pro Forma'!#REF!)*$E6*($K$13*(1+$K$14)^(K$4-$K$11))</f>
        <v>#REF!</v>
      </c>
      <c r="L6" s="63" t="e">
        <f>SUM('B.1 - Dev Pro Forma'!#REF!)*$E6*($K$13*(1+$K$14)^(L$4-$K$11))</f>
        <v>#REF!</v>
      </c>
      <c r="M6" s="63" t="e">
        <f>SUM('B.1 - Dev Pro Forma'!#REF!)*$E6*($K$13*(1+$K$14)^(M$4-$K$11))</f>
        <v>#REF!</v>
      </c>
      <c r="N6" s="63" t="e">
        <f>SUM('B.1 - Dev Pro Forma'!#REF!)*$E6*($K$13*(1+$K$14)^(N$4-$K$11))</f>
        <v>#REF!</v>
      </c>
      <c r="O6" s="63" t="e">
        <f>SUM('B.1 - Dev Pro Forma'!#REF!)*$E6*($K$13*(1+$K$14)^(O$4-$K$11))</f>
        <v>#REF!</v>
      </c>
      <c r="P6" s="63" t="e">
        <f>SUM('B.1 - Dev Pro Forma'!#REF!)*$E6*($K$13*(1+$K$14)^(P$4-$K$11))</f>
        <v>#REF!</v>
      </c>
      <c r="Q6" s="63" t="e">
        <f>SUM('B.1 - Dev Pro Forma'!#REF!)*$E6*($K$13*(1+$K$14)^(Q$4-$K$11))</f>
        <v>#REF!</v>
      </c>
      <c r="R6" s="63" t="e">
        <f>SUM('B.1 - Dev Pro Forma'!#REF!)*$E6*($K$13*(1+$K$14)^(R$4-$K$11))</f>
        <v>#REF!</v>
      </c>
      <c r="S6" s="63" t="e">
        <f>SUM('B.1 - Dev Pro Forma'!#REF!)*$E6*($K$13*(1+$K$14)^(S$4-$K$11))</f>
        <v>#REF!</v>
      </c>
      <c r="T6" s="63" t="e">
        <f>SUM('B.1 - Dev Pro Forma'!#REF!)*$E6*($K$13*(1+$K$14)^(T$4-$K$11))</f>
        <v>#REF!</v>
      </c>
      <c r="U6" s="63" t="e">
        <f>SUM('B.1 - Dev Pro Forma'!#REF!)*$E6*($K$13*(1+$K$14)^(U$4-$K$11))</f>
        <v>#REF!</v>
      </c>
      <c r="V6" s="64" t="e">
        <f>SUM(F6:U6)</f>
        <v>#REF!</v>
      </c>
      <c r="W6" s="65" t="e">
        <f>NPV($K$16,F6:U6)</f>
        <v>#REF!</v>
      </c>
    </row>
    <row r="7" spans="1:23" ht="12.75" customHeight="1" x14ac:dyDescent="0.15">
      <c r="A7" s="66"/>
      <c r="B7" s="67" t="s">
        <v>13</v>
      </c>
      <c r="C7" s="68"/>
      <c r="D7" s="69"/>
      <c r="E7" s="69"/>
      <c r="F7" s="70" t="e">
        <f t="shared" ref="F7:U7" si="1">SUM(F5:F6)</f>
        <v>#REF!</v>
      </c>
      <c r="G7" s="71" t="e">
        <f t="shared" si="1"/>
        <v>#REF!</v>
      </c>
      <c r="H7" s="71" t="e">
        <f t="shared" si="1"/>
        <v>#REF!</v>
      </c>
      <c r="I7" s="71" t="e">
        <f t="shared" si="1"/>
        <v>#REF!</v>
      </c>
      <c r="J7" s="71" t="e">
        <f t="shared" si="1"/>
        <v>#REF!</v>
      </c>
      <c r="K7" s="71" t="e">
        <f t="shared" si="1"/>
        <v>#REF!</v>
      </c>
      <c r="L7" s="71" t="e">
        <f t="shared" si="1"/>
        <v>#REF!</v>
      </c>
      <c r="M7" s="71" t="e">
        <f t="shared" si="1"/>
        <v>#REF!</v>
      </c>
      <c r="N7" s="71" t="e">
        <f t="shared" si="1"/>
        <v>#REF!</v>
      </c>
      <c r="O7" s="71" t="e">
        <f t="shared" si="1"/>
        <v>#REF!</v>
      </c>
      <c r="P7" s="71" t="e">
        <f t="shared" si="1"/>
        <v>#REF!</v>
      </c>
      <c r="Q7" s="71" t="e">
        <f t="shared" si="1"/>
        <v>#REF!</v>
      </c>
      <c r="R7" s="71" t="e">
        <f t="shared" si="1"/>
        <v>#REF!</v>
      </c>
      <c r="S7" s="71" t="e">
        <f t="shared" si="1"/>
        <v>#REF!</v>
      </c>
      <c r="T7" s="71" t="e">
        <f t="shared" si="1"/>
        <v>#REF!</v>
      </c>
      <c r="U7" s="71" t="e">
        <f t="shared" si="1"/>
        <v>#REF!</v>
      </c>
      <c r="V7" s="72" t="e">
        <f>SUM(F7:U7)</f>
        <v>#REF!</v>
      </c>
      <c r="W7" s="73" t="e">
        <f>SUM(W5:W6)</f>
        <v>#REF!</v>
      </c>
    </row>
    <row r="8" spans="1:23" x14ac:dyDescent="0.15">
      <c r="A8" s="66"/>
      <c r="B8" s="67" t="s">
        <v>547</v>
      </c>
      <c r="C8" s="68"/>
      <c r="D8" s="69"/>
      <c r="E8" s="69"/>
      <c r="F8" s="184" t="e">
        <f>F7*$K$15</f>
        <v>#REF!</v>
      </c>
      <c r="G8" s="185" t="e">
        <f t="shared" ref="G8:U8" si="2">G7*$K$15</f>
        <v>#REF!</v>
      </c>
      <c r="H8" s="185" t="e">
        <f t="shared" si="2"/>
        <v>#REF!</v>
      </c>
      <c r="I8" s="71" t="e">
        <f t="shared" si="2"/>
        <v>#REF!</v>
      </c>
      <c r="J8" s="71" t="e">
        <f t="shared" si="2"/>
        <v>#REF!</v>
      </c>
      <c r="K8" s="71" t="e">
        <f t="shared" si="2"/>
        <v>#REF!</v>
      </c>
      <c r="L8" s="71" t="e">
        <f t="shared" si="2"/>
        <v>#REF!</v>
      </c>
      <c r="M8" s="71" t="e">
        <f t="shared" si="2"/>
        <v>#REF!</v>
      </c>
      <c r="N8" s="71" t="e">
        <f t="shared" si="2"/>
        <v>#REF!</v>
      </c>
      <c r="O8" s="71" t="e">
        <f t="shared" si="2"/>
        <v>#REF!</v>
      </c>
      <c r="P8" s="71" t="e">
        <f t="shared" si="2"/>
        <v>#REF!</v>
      </c>
      <c r="Q8" s="71" t="e">
        <f t="shared" si="2"/>
        <v>#REF!</v>
      </c>
      <c r="R8" s="71" t="e">
        <f t="shared" si="2"/>
        <v>#REF!</v>
      </c>
      <c r="S8" s="71" t="e">
        <f t="shared" si="2"/>
        <v>#REF!</v>
      </c>
      <c r="T8" s="71" t="e">
        <f t="shared" si="2"/>
        <v>#REF!</v>
      </c>
      <c r="U8" s="71" t="e">
        <f t="shared" si="2"/>
        <v>#REF!</v>
      </c>
      <c r="V8" s="72" t="e">
        <f>SUM(F8:U8)</f>
        <v>#REF!</v>
      </c>
      <c r="W8" s="73" t="e">
        <f>NPV($K$16,F8:U8)</f>
        <v>#REF!</v>
      </c>
    </row>
    <row r="9" spans="1:23" x14ac:dyDescent="0.15">
      <c r="C9" s="43"/>
      <c r="D9" s="43"/>
      <c r="G9" s="46"/>
      <c r="L9" s="74"/>
      <c r="M9" s="74"/>
      <c r="N9" s="74"/>
      <c r="O9" s="74"/>
      <c r="P9" s="74"/>
      <c r="Q9" s="74"/>
      <c r="R9" s="74"/>
      <c r="S9" s="74"/>
    </row>
    <row r="10" spans="1:23" x14ac:dyDescent="0.15">
      <c r="C10" s="43"/>
      <c r="D10" s="43"/>
      <c r="G10" s="46"/>
      <c r="L10" s="74"/>
      <c r="M10" s="74"/>
      <c r="N10" s="74"/>
      <c r="O10" s="74"/>
      <c r="P10" s="74"/>
      <c r="Q10" s="74"/>
      <c r="R10" s="74"/>
      <c r="S10" s="74"/>
    </row>
    <row r="11" spans="1:23" ht="15" thickBot="1" x14ac:dyDescent="0.2">
      <c r="B11" s="77"/>
      <c r="C11" s="77"/>
      <c r="D11" s="77"/>
      <c r="E11" s="77"/>
      <c r="F11" s="77"/>
      <c r="G11" s="62"/>
      <c r="H11" s="1414" t="s">
        <v>63</v>
      </c>
      <c r="I11" s="1415"/>
      <c r="J11" s="1415"/>
      <c r="K11" s="86">
        <v>2009</v>
      </c>
      <c r="L11" s="74"/>
      <c r="M11" s="74"/>
      <c r="N11" s="74"/>
      <c r="O11" s="74"/>
      <c r="P11" s="74"/>
      <c r="Q11" s="74"/>
      <c r="R11" s="74"/>
      <c r="S11" s="74"/>
    </row>
    <row r="12" spans="1:23" ht="19" thickBot="1" x14ac:dyDescent="0.25">
      <c r="B12" s="79" t="s">
        <v>76</v>
      </c>
      <c r="C12" s="80"/>
      <c r="D12" s="103" t="e">
        <f>W8</f>
        <v>#REF!</v>
      </c>
      <c r="E12"/>
      <c r="F12"/>
      <c r="G12" s="74"/>
      <c r="H12" s="96" t="s">
        <v>604</v>
      </c>
      <c r="I12" s="97"/>
      <c r="J12" s="75"/>
      <c r="K12" s="76">
        <v>7</v>
      </c>
      <c r="L12" s="74"/>
      <c r="M12" s="74"/>
      <c r="N12" s="74"/>
      <c r="O12" s="74"/>
      <c r="P12" s="74"/>
      <c r="Q12" s="74"/>
      <c r="R12" s="74"/>
      <c r="S12" s="74"/>
      <c r="T12" s="74"/>
      <c r="U12" s="74"/>
      <c r="V12" s="74"/>
    </row>
    <row r="13" spans="1:23" ht="18" x14ac:dyDescent="0.2">
      <c r="B13" s="124"/>
      <c r="C13" s="125"/>
      <c r="D13" s="126"/>
      <c r="E13"/>
      <c r="F13"/>
      <c r="G13" s="74"/>
      <c r="H13" s="121" t="s">
        <v>523</v>
      </c>
      <c r="I13" s="122"/>
      <c r="J13" s="82"/>
      <c r="K13" s="123">
        <v>6</v>
      </c>
      <c r="L13" s="74"/>
      <c r="M13" s="74"/>
      <c r="N13" s="74"/>
      <c r="O13" s="74"/>
      <c r="P13" s="74"/>
      <c r="Q13" s="74"/>
      <c r="R13" s="74"/>
      <c r="S13" s="74"/>
      <c r="T13" s="74"/>
      <c r="U13" s="74"/>
      <c r="V13" s="74"/>
    </row>
    <row r="14" spans="1:23" x14ac:dyDescent="0.15">
      <c r="G14" s="74"/>
      <c r="H14" s="81" t="s">
        <v>580</v>
      </c>
      <c r="I14" s="82"/>
      <c r="J14" s="82"/>
      <c r="K14" s="78">
        <f>Inflation!P49</f>
        <v>8.2613815413017169E-2</v>
      </c>
      <c r="L14" s="74"/>
      <c r="M14" s="74"/>
      <c r="N14" s="74"/>
      <c r="O14" s="74"/>
      <c r="P14" s="74"/>
      <c r="Q14" s="74"/>
      <c r="R14" s="74"/>
      <c r="S14" s="74"/>
      <c r="T14" s="74"/>
      <c r="U14" s="74"/>
      <c r="V14" s="74"/>
    </row>
    <row r="15" spans="1:23" x14ac:dyDescent="0.15">
      <c r="B15" s="172"/>
      <c r="C15" s="173" t="s">
        <v>522</v>
      </c>
      <c r="G15" s="74"/>
      <c r="H15" s="81" t="s">
        <v>75</v>
      </c>
      <c r="I15" s="82"/>
      <c r="J15" s="82"/>
      <c r="K15" s="102">
        <v>0.06</v>
      </c>
      <c r="L15" s="74"/>
      <c r="M15" s="74"/>
      <c r="N15" s="74"/>
      <c r="O15" s="74"/>
      <c r="P15" s="74"/>
      <c r="Q15" s="74"/>
      <c r="R15" s="74"/>
      <c r="S15" s="74"/>
      <c r="T15" s="74"/>
      <c r="U15" s="74"/>
      <c r="V15" s="74"/>
    </row>
    <row r="16" spans="1:23" x14ac:dyDescent="0.15">
      <c r="B16" s="170" t="s">
        <v>397</v>
      </c>
      <c r="C16" s="171">
        <v>1000000</v>
      </c>
      <c r="G16" s="83"/>
      <c r="H16" s="98" t="s">
        <v>14</v>
      </c>
      <c r="I16" s="99"/>
      <c r="J16" s="84"/>
      <c r="K16" s="85" t="e">
        <f>#REF!</f>
        <v>#REF!</v>
      </c>
      <c r="L16" s="83"/>
      <c r="M16" s="83"/>
    </row>
    <row r="17" spans="1:12" x14ac:dyDescent="0.15">
      <c r="E17" s="181">
        <f>20*1500*12*K12</f>
        <v>2520000</v>
      </c>
      <c r="F17" s="43"/>
    </row>
    <row r="18" spans="1:12" x14ac:dyDescent="0.15">
      <c r="E18" s="46" t="e">
        <f>'B.1 - Dev Pro Forma'!#REF!*NGTax!E5*NGTax!K12</f>
        <v>#REF!</v>
      </c>
    </row>
    <row r="22" spans="1:12" x14ac:dyDescent="0.15">
      <c r="A22" s="94"/>
      <c r="B22" s="94"/>
      <c r="C22" s="95"/>
      <c r="D22" s="95"/>
      <c r="E22" s="95"/>
      <c r="F22" s="95"/>
      <c r="G22" s="94"/>
      <c r="H22" s="94"/>
      <c r="I22" s="94"/>
      <c r="J22" s="94"/>
      <c r="K22" s="94"/>
      <c r="L22" s="94"/>
    </row>
    <row r="23" spans="1:12" x14ac:dyDescent="0.15">
      <c r="A23" s="93" t="s">
        <v>606</v>
      </c>
      <c r="B23" s="77"/>
      <c r="C23" s="57"/>
      <c r="D23" s="57"/>
      <c r="E23" s="57"/>
      <c r="F23" s="57"/>
      <c r="G23" s="77"/>
      <c r="H23" s="77"/>
      <c r="I23" s="77"/>
      <c r="J23" s="77"/>
      <c r="K23" s="77"/>
      <c r="L23" s="77"/>
    </row>
    <row r="24" spans="1:12" x14ac:dyDescent="0.15">
      <c r="A24" s="92" t="s">
        <v>605</v>
      </c>
      <c r="B24" s="77"/>
      <c r="C24" s="57"/>
      <c r="D24" s="57"/>
      <c r="E24" s="57"/>
      <c r="F24" s="57"/>
      <c r="G24" s="77"/>
      <c r="H24" s="77"/>
      <c r="I24" s="77"/>
      <c r="J24" s="77"/>
      <c r="K24" s="77"/>
      <c r="L24" s="77"/>
    </row>
    <row r="29" spans="1:12" x14ac:dyDescent="0.15">
      <c r="B29" s="43" t="s">
        <v>394</v>
      </c>
    </row>
    <row r="30" spans="1:12" x14ac:dyDescent="0.15">
      <c r="B30" s="43" t="s">
        <v>395</v>
      </c>
    </row>
    <row r="31" spans="1:12" ht="15" x14ac:dyDescent="0.15">
      <c r="B31" s="43" t="s">
        <v>398</v>
      </c>
    </row>
    <row r="33" spans="2:9" x14ac:dyDescent="0.15">
      <c r="B33" s="46" t="s">
        <v>530</v>
      </c>
    </row>
    <row r="34" spans="2:9" x14ac:dyDescent="0.15">
      <c r="B34" s="46" t="s">
        <v>26</v>
      </c>
      <c r="C34" s="46" t="s">
        <v>528</v>
      </c>
    </row>
    <row r="35" spans="2:9" x14ac:dyDescent="0.15">
      <c r="B35" s="46" t="s">
        <v>41</v>
      </c>
      <c r="C35" s="46" t="s">
        <v>529</v>
      </c>
    </row>
    <row r="36" spans="2:9" x14ac:dyDescent="0.15">
      <c r="B36" s="46"/>
      <c r="C36" s="46">
        <f>10*200*12*8</f>
        <v>192000</v>
      </c>
    </row>
    <row r="38" spans="2:9" x14ac:dyDescent="0.15">
      <c r="B38" s="43">
        <f>110/7.81</f>
        <v>14.084507042253522</v>
      </c>
      <c r="C38" s="43">
        <f>B38*12</f>
        <v>169.01408450704227</v>
      </c>
    </row>
    <row r="39" spans="2:9" x14ac:dyDescent="0.15">
      <c r="C39" s="74" t="e">
        <f>C38*7*'B.1 - Dev Pro Forma'!#REF!</f>
        <v>#REF!</v>
      </c>
    </row>
    <row r="41" spans="2:9" x14ac:dyDescent="0.15">
      <c r="B41" s="177"/>
      <c r="C41" s="40" t="s">
        <v>531</v>
      </c>
      <c r="D41" s="178"/>
      <c r="E41" s="40" t="s">
        <v>532</v>
      </c>
      <c r="F41" s="178"/>
    </row>
    <row r="42" spans="2:9" x14ac:dyDescent="0.15">
      <c r="B42" s="177"/>
      <c r="C42" s="179" t="s">
        <v>533</v>
      </c>
      <c r="D42" s="178" t="s">
        <v>534</v>
      </c>
      <c r="E42" s="179" t="s">
        <v>533</v>
      </c>
      <c r="F42" s="178" t="s">
        <v>534</v>
      </c>
    </row>
    <row r="43" spans="2:9" x14ac:dyDescent="0.15">
      <c r="B43" s="43" t="s">
        <v>535</v>
      </c>
      <c r="C43" s="174">
        <v>6.8411999999999997</v>
      </c>
      <c r="D43" s="174">
        <v>5.6447500000000002</v>
      </c>
      <c r="E43" s="174">
        <v>7.81121</v>
      </c>
      <c r="F43" s="174">
        <v>6.4899300000000002</v>
      </c>
      <c r="G43" s="180">
        <f>AVERAGE(C43:F43)</f>
        <v>6.6967724999999998</v>
      </c>
    </row>
    <row r="45" spans="2:9" x14ac:dyDescent="0.15">
      <c r="B45" s="177"/>
      <c r="C45" s="179" t="s">
        <v>537</v>
      </c>
      <c r="D45" s="179" t="s">
        <v>538</v>
      </c>
      <c r="E45" s="178" t="s">
        <v>539</v>
      </c>
      <c r="F45" s="179" t="s">
        <v>537</v>
      </c>
      <c r="G45" s="179" t="s">
        <v>538</v>
      </c>
      <c r="H45" s="178" t="s">
        <v>539</v>
      </c>
    </row>
    <row r="46" spans="2:9" x14ac:dyDescent="0.15">
      <c r="B46" s="177"/>
      <c r="C46" s="40" t="s">
        <v>540</v>
      </c>
      <c r="D46" s="40" t="s">
        <v>541</v>
      </c>
      <c r="E46" s="178" t="s">
        <v>542</v>
      </c>
      <c r="F46" s="40" t="s">
        <v>540</v>
      </c>
      <c r="G46" s="40" t="s">
        <v>541</v>
      </c>
      <c r="H46" s="178" t="s">
        <v>542</v>
      </c>
    </row>
    <row r="47" spans="2:9" x14ac:dyDescent="0.15">
      <c r="B47" s="43" t="s">
        <v>536</v>
      </c>
      <c r="C47" s="175">
        <v>5.39316</v>
      </c>
      <c r="D47" s="175">
        <v>5.2499000000000002</v>
      </c>
      <c r="E47" s="175">
        <v>5.1825099999999997</v>
      </c>
      <c r="F47" s="175">
        <v>6.0544099999999998</v>
      </c>
      <c r="G47" s="176">
        <v>5.9073799999999999</v>
      </c>
      <c r="H47" s="176">
        <v>5.8485699999999996</v>
      </c>
      <c r="I47" s="180">
        <f>AVERAGE(C47:H47)</f>
        <v>5.6059883333333334</v>
      </c>
    </row>
  </sheetData>
  <mergeCells count="2">
    <mergeCell ref="A5:A6"/>
    <mergeCell ref="H11:J11"/>
  </mergeCells>
  <printOptions horizontalCentered="1"/>
  <pageMargins left="0.2" right="0.2" top="0.54" bottom="0.76" header="0.28000000000000003" footer="0.25"/>
  <pageSetup paperSize="3" scale="65" orientation="landscape" horizontalDpi="4294967293" r:id="rId1"/>
  <headerFooter alignWithMargins="0">
    <oddFooter xml:space="preserve">&amp;L&amp;"Franklin Gothic Book,Regular"&amp;9&amp;A; &amp;"Arial,Regular"&amp;10
&amp;F&amp;R&amp;"Franklin Gothic Book,Regular"&amp;9Prepared By: Lewis Young Robertson &amp; Burningham, Inc.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3:K35"/>
  <sheetViews>
    <sheetView workbookViewId="0">
      <selection activeCell="J35" sqref="J35"/>
    </sheetView>
  </sheetViews>
  <sheetFormatPr baseColWidth="10" defaultColWidth="8.83203125" defaultRowHeight="13" x14ac:dyDescent="0.15"/>
  <cols>
    <col min="1" max="2" width="8.83203125" style="43"/>
    <col min="3" max="3" width="22.5" style="46" bestFit="1" customWidth="1"/>
    <col min="4" max="6" width="8.83203125" style="46"/>
    <col min="7" max="16384" width="8.83203125" style="43"/>
  </cols>
  <sheetData>
    <row r="3" spans="1:11" x14ac:dyDescent="0.15">
      <c r="C3" s="46" t="s">
        <v>1231</v>
      </c>
    </row>
    <row r="4" spans="1:11" x14ac:dyDescent="0.15">
      <c r="A4" s="43">
        <v>1981</v>
      </c>
      <c r="B4" s="257">
        <v>17558</v>
      </c>
      <c r="C4" s="46">
        <v>360</v>
      </c>
      <c r="I4" s="43">
        <v>2006</v>
      </c>
    </row>
    <row r="5" spans="1:11" x14ac:dyDescent="0.15">
      <c r="A5" s="43">
        <v>1982</v>
      </c>
      <c r="B5" s="258">
        <v>18071</v>
      </c>
      <c r="C5" s="46">
        <v>375</v>
      </c>
      <c r="D5" s="259">
        <f>C5/C4-1</f>
        <v>4.1666666666666741E-2</v>
      </c>
      <c r="I5" s="43" t="s">
        <v>1232</v>
      </c>
      <c r="J5" s="43">
        <v>40.67</v>
      </c>
    </row>
    <row r="6" spans="1:11" x14ac:dyDescent="0.15">
      <c r="A6" s="43">
        <v>1983</v>
      </c>
      <c r="B6" s="258">
        <v>19692</v>
      </c>
      <c r="C6" s="46">
        <v>415</v>
      </c>
      <c r="D6" s="259">
        <f t="shared" ref="D6:D29" si="0">C6/C5-1</f>
        <v>0.10666666666666669</v>
      </c>
      <c r="I6" s="43" t="s">
        <v>1233</v>
      </c>
      <c r="J6" s="43">
        <v>69.180000000000007</v>
      </c>
      <c r="K6" s="43">
        <f>J5/J6</f>
        <v>0.58788667244868453</v>
      </c>
    </row>
    <row r="7" spans="1:11" x14ac:dyDescent="0.15">
      <c r="A7" s="43">
        <v>1984</v>
      </c>
      <c r="B7" s="258">
        <v>21975</v>
      </c>
      <c r="C7" s="46">
        <v>435</v>
      </c>
      <c r="D7" s="259">
        <f t="shared" si="0"/>
        <v>4.8192771084337283E-2</v>
      </c>
    </row>
    <row r="8" spans="1:11" x14ac:dyDescent="0.15">
      <c r="A8" s="43">
        <v>1985</v>
      </c>
      <c r="B8" s="258">
        <v>23490</v>
      </c>
      <c r="C8" s="46">
        <v>455</v>
      </c>
      <c r="D8" s="259">
        <f t="shared" si="0"/>
        <v>4.5977011494252817E-2</v>
      </c>
    </row>
    <row r="9" spans="1:11" x14ac:dyDescent="0.15">
      <c r="A9" s="43">
        <v>1986</v>
      </c>
      <c r="B9" s="258">
        <v>23866</v>
      </c>
      <c r="C9" s="46">
        <v>471</v>
      </c>
      <c r="D9" s="259">
        <f t="shared" si="0"/>
        <v>3.5164835164835262E-2</v>
      </c>
    </row>
    <row r="10" spans="1:11" x14ac:dyDescent="0.15">
      <c r="A10" s="43">
        <v>1987</v>
      </c>
      <c r="B10" s="258">
        <v>24414</v>
      </c>
      <c r="C10" s="46">
        <v>499</v>
      </c>
      <c r="D10" s="259">
        <f t="shared" si="0"/>
        <v>5.9447983014861983E-2</v>
      </c>
    </row>
    <row r="11" spans="1:11" x14ac:dyDescent="0.15">
      <c r="A11" s="43">
        <v>1988</v>
      </c>
      <c r="B11" s="258">
        <v>25892</v>
      </c>
      <c r="C11" s="46">
        <v>537</v>
      </c>
      <c r="D11" s="259">
        <f t="shared" si="0"/>
        <v>7.6152304609218513E-2</v>
      </c>
    </row>
    <row r="12" spans="1:11" x14ac:dyDescent="0.15">
      <c r="A12" s="43">
        <v>1989</v>
      </c>
      <c r="B12" s="258">
        <v>27810</v>
      </c>
      <c r="C12" s="46">
        <v>567</v>
      </c>
      <c r="D12" s="259">
        <f t="shared" si="0"/>
        <v>5.5865921787709549E-2</v>
      </c>
    </row>
    <row r="13" spans="1:11" x14ac:dyDescent="0.15">
      <c r="A13" s="43">
        <v>1990</v>
      </c>
      <c r="B13" s="258">
        <v>28381</v>
      </c>
      <c r="C13" s="46">
        <v>592</v>
      </c>
      <c r="D13" s="259">
        <f t="shared" si="0"/>
        <v>4.4091710758377367E-2</v>
      </c>
    </row>
    <row r="14" spans="1:11" x14ac:dyDescent="0.15">
      <c r="A14" s="43">
        <v>1991</v>
      </c>
      <c r="B14" s="258">
        <v>29614</v>
      </c>
      <c r="C14" s="46">
        <v>618</v>
      </c>
      <c r="D14" s="259">
        <f t="shared" si="0"/>
        <v>4.3918918918918859E-2</v>
      </c>
    </row>
    <row r="15" spans="1:11" x14ac:dyDescent="0.15">
      <c r="A15" s="43">
        <v>1992</v>
      </c>
      <c r="B15" s="258">
        <v>29846</v>
      </c>
      <c r="C15" s="46">
        <v>623</v>
      </c>
      <c r="D15" s="259">
        <f t="shared" si="0"/>
        <v>8.090614886731462E-3</v>
      </c>
    </row>
    <row r="16" spans="1:11" x14ac:dyDescent="0.15">
      <c r="A16" s="43">
        <v>1993</v>
      </c>
      <c r="B16" s="258">
        <v>30692</v>
      </c>
      <c r="C16" s="46">
        <v>658</v>
      </c>
      <c r="D16" s="259">
        <f t="shared" si="0"/>
        <v>5.6179775280898792E-2</v>
      </c>
    </row>
    <row r="17" spans="1:4" x14ac:dyDescent="0.15">
      <c r="A17" s="43">
        <v>1994</v>
      </c>
      <c r="B17" s="258">
        <v>31731</v>
      </c>
      <c r="C17" s="46">
        <v>690</v>
      </c>
      <c r="D17" s="259">
        <f t="shared" si="0"/>
        <v>4.8632218844984809E-2</v>
      </c>
    </row>
    <row r="18" spans="1:4" x14ac:dyDescent="0.15">
      <c r="A18" s="43">
        <v>1995</v>
      </c>
      <c r="B18" s="258">
        <v>32264</v>
      </c>
      <c r="C18" s="46">
        <v>708</v>
      </c>
      <c r="D18" s="259">
        <f t="shared" si="0"/>
        <v>2.6086956521739202E-2</v>
      </c>
    </row>
    <row r="19" spans="1:4" x14ac:dyDescent="0.15">
      <c r="A19" s="43">
        <v>1996</v>
      </c>
      <c r="B19" s="258">
        <v>33797</v>
      </c>
      <c r="C19" s="46">
        <v>772</v>
      </c>
      <c r="D19" s="259">
        <f t="shared" si="0"/>
        <v>9.0395480225988756E-2</v>
      </c>
    </row>
    <row r="20" spans="1:4" x14ac:dyDescent="0.15">
      <c r="A20" s="43">
        <v>1997</v>
      </c>
      <c r="B20" s="258">
        <v>34819</v>
      </c>
      <c r="C20" s="46">
        <v>809</v>
      </c>
      <c r="D20" s="259">
        <f t="shared" si="0"/>
        <v>4.7927461139896321E-2</v>
      </c>
    </row>
    <row r="21" spans="1:4" x14ac:dyDescent="0.15">
      <c r="A21" s="43">
        <v>1998</v>
      </c>
      <c r="B21" s="258">
        <v>35535</v>
      </c>
      <c r="C21" s="46">
        <v>830</v>
      </c>
      <c r="D21" s="259">
        <f t="shared" si="0"/>
        <v>2.5957972805933149E-2</v>
      </c>
    </row>
    <row r="22" spans="1:4" x14ac:dyDescent="0.15">
      <c r="A22" s="43">
        <v>1999</v>
      </c>
      <c r="B22" s="258">
        <v>36995</v>
      </c>
      <c r="C22" s="46">
        <v>849</v>
      </c>
      <c r="D22" s="259">
        <f t="shared" si="0"/>
        <v>2.289156626506017E-2</v>
      </c>
    </row>
    <row r="23" spans="1:4" x14ac:dyDescent="0.15">
      <c r="A23" s="43">
        <v>2000</v>
      </c>
      <c r="B23" s="258">
        <v>38045</v>
      </c>
      <c r="C23" s="46">
        <v>877</v>
      </c>
      <c r="D23" s="259">
        <f t="shared" si="0"/>
        <v>3.2979976442873982E-2</v>
      </c>
    </row>
    <row r="24" spans="1:4" x14ac:dyDescent="0.15">
      <c r="A24" s="43">
        <v>2001</v>
      </c>
      <c r="B24" s="258">
        <v>39518</v>
      </c>
      <c r="C24" s="46">
        <v>914</v>
      </c>
      <c r="D24" s="259">
        <f t="shared" si="0"/>
        <v>4.218928164196134E-2</v>
      </c>
    </row>
    <row r="25" spans="1:4" x14ac:dyDescent="0.15">
      <c r="A25" s="43">
        <v>2002</v>
      </c>
      <c r="B25" s="258">
        <v>40677</v>
      </c>
      <c r="C25" s="46">
        <v>957</v>
      </c>
      <c r="D25" s="259">
        <f t="shared" si="0"/>
        <v>4.7045951859956192E-2</v>
      </c>
    </row>
    <row r="26" spans="1:4" x14ac:dyDescent="0.15">
      <c r="A26" s="43">
        <v>2003</v>
      </c>
      <c r="B26" s="258">
        <v>40817</v>
      </c>
      <c r="C26" s="46">
        <v>956</v>
      </c>
      <c r="D26" s="259">
        <f t="shared" si="0"/>
        <v>-1.0449320794148065E-3</v>
      </c>
    </row>
    <row r="27" spans="1:4" x14ac:dyDescent="0.15">
      <c r="A27" s="43">
        <v>2004</v>
      </c>
      <c r="B27" s="258">
        <v>43395</v>
      </c>
      <c r="C27" s="46">
        <v>990</v>
      </c>
      <c r="D27" s="259">
        <f t="shared" si="0"/>
        <v>3.5564853556485421E-2</v>
      </c>
    </row>
    <row r="28" spans="1:4" x14ac:dyDescent="0.15">
      <c r="A28" s="43">
        <v>2005</v>
      </c>
      <c r="B28" s="258">
        <v>46409</v>
      </c>
      <c r="C28" s="46">
        <v>1048</v>
      </c>
      <c r="D28" s="259">
        <f t="shared" si="0"/>
        <v>5.8585858585858519E-2</v>
      </c>
    </row>
    <row r="29" spans="1:4" x14ac:dyDescent="0.15">
      <c r="A29" s="43">
        <v>2006</v>
      </c>
      <c r="B29" s="258">
        <v>48398</v>
      </c>
      <c r="C29" s="46">
        <v>1087</v>
      </c>
      <c r="D29" s="259">
        <f t="shared" si="0"/>
        <v>3.7213740458015288E-2</v>
      </c>
    </row>
    <row r="30" spans="1:4" x14ac:dyDescent="0.15">
      <c r="C30" s="46">
        <f>C29*(1+D29)</f>
        <v>1127.4513358778627</v>
      </c>
      <c r="D30" s="259">
        <v>0.02</v>
      </c>
    </row>
    <row r="31" spans="1:4" x14ac:dyDescent="0.15">
      <c r="C31" s="46">
        <f>C30*(1+D30)</f>
        <v>1150.00036259542</v>
      </c>
      <c r="D31" s="259">
        <v>0.04</v>
      </c>
    </row>
    <row r="32" spans="1:4" x14ac:dyDescent="0.15">
      <c r="D32" s="259"/>
    </row>
    <row r="33" spans="1:4" x14ac:dyDescent="0.15">
      <c r="D33" s="259"/>
    </row>
    <row r="34" spans="1:4" x14ac:dyDescent="0.15">
      <c r="A34" s="43" t="s">
        <v>1273</v>
      </c>
      <c r="D34" s="259"/>
    </row>
    <row r="35" spans="1:4" x14ac:dyDescent="0.15">
      <c r="D35" s="260"/>
    </row>
  </sheetData>
  <printOptions horizontalCentered="1"/>
  <pageMargins left="0.2" right="0.2" top="0.54" bottom="0.76" header="0.28000000000000003" footer="0.25"/>
  <pageSetup paperSize="3" orientation="landscape" horizontalDpi="4294967293" r:id="rId1"/>
  <headerFooter alignWithMargins="0">
    <oddFooter xml:space="preserve">&amp;L&amp;"Franklin Gothic Book,Regular"&amp;9&amp;A; &amp;"Arial,Regular"&amp;10
&amp;F&amp;R&amp;"Franklin Gothic Book,Regular"&amp;9Prepared By: Lewis Young Robertson &amp; Burningham, Inc.
</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386"/>
  <sheetViews>
    <sheetView workbookViewId="0">
      <pane ySplit="11" topLeftCell="A165" activePane="bottomLeft" state="frozen"/>
      <selection activeCell="J35" sqref="J35"/>
      <selection pane="bottomLeft" activeCell="J35" sqref="J35"/>
    </sheetView>
  </sheetViews>
  <sheetFormatPr baseColWidth="10" defaultColWidth="8.83203125" defaultRowHeight="13" x14ac:dyDescent="0.15"/>
  <cols>
    <col min="1" max="1" width="22.1640625" style="213" customWidth="1"/>
    <col min="2" max="2" width="3.33203125" style="213" bestFit="1" customWidth="1"/>
    <col min="3" max="3" width="6.5" style="213" bestFit="1" customWidth="1"/>
    <col min="4" max="4" width="7.5" style="213" hidden="1" customWidth="1"/>
    <col min="5" max="5" width="7" style="213" customWidth="1"/>
    <col min="6" max="6" width="1.6640625" style="213" bestFit="1" customWidth="1"/>
    <col min="7" max="7" width="7" style="213" customWidth="1"/>
    <col min="8" max="13" width="7" style="215" customWidth="1"/>
    <col min="14" max="17" width="7" style="213" customWidth="1"/>
    <col min="18" max="18" width="7" style="215" customWidth="1"/>
    <col min="19" max="22" width="7" style="212" customWidth="1"/>
    <col min="23" max="23" width="9" style="216" bestFit="1" customWidth="1"/>
    <col min="24" max="256" width="8.83203125" style="213"/>
    <col min="257" max="257" width="22.1640625" style="213" customWidth="1"/>
    <col min="258" max="258" width="3.33203125" style="213" bestFit="1" customWidth="1"/>
    <col min="259" max="259" width="6.5" style="213" bestFit="1" customWidth="1"/>
    <col min="260" max="260" width="0" style="213" hidden="1" customWidth="1"/>
    <col min="261" max="261" width="7" style="213" customWidth="1"/>
    <col min="262" max="262" width="1.6640625" style="213" bestFit="1" customWidth="1"/>
    <col min="263" max="278" width="7" style="213" customWidth="1"/>
    <col min="279" max="279" width="9" style="213" bestFit="1" customWidth="1"/>
    <col min="280" max="512" width="8.83203125" style="213"/>
    <col min="513" max="513" width="22.1640625" style="213" customWidth="1"/>
    <col min="514" max="514" width="3.33203125" style="213" bestFit="1" customWidth="1"/>
    <col min="515" max="515" width="6.5" style="213" bestFit="1" customWidth="1"/>
    <col min="516" max="516" width="0" style="213" hidden="1" customWidth="1"/>
    <col min="517" max="517" width="7" style="213" customWidth="1"/>
    <col min="518" max="518" width="1.6640625" style="213" bestFit="1" customWidth="1"/>
    <col min="519" max="534" width="7" style="213" customWidth="1"/>
    <col min="535" max="535" width="9" style="213" bestFit="1" customWidth="1"/>
    <col min="536" max="768" width="8.83203125" style="213"/>
    <col min="769" max="769" width="22.1640625" style="213" customWidth="1"/>
    <col min="770" max="770" width="3.33203125" style="213" bestFit="1" customWidth="1"/>
    <col min="771" max="771" width="6.5" style="213" bestFit="1" customWidth="1"/>
    <col min="772" max="772" width="0" style="213" hidden="1" customWidth="1"/>
    <col min="773" max="773" width="7" style="213" customWidth="1"/>
    <col min="774" max="774" width="1.6640625" style="213" bestFit="1" customWidth="1"/>
    <col min="775" max="790" width="7" style="213" customWidth="1"/>
    <col min="791" max="791" width="9" style="213" bestFit="1" customWidth="1"/>
    <col min="792" max="1024" width="8.83203125" style="213"/>
    <col min="1025" max="1025" width="22.1640625" style="213" customWidth="1"/>
    <col min="1026" max="1026" width="3.33203125" style="213" bestFit="1" customWidth="1"/>
    <col min="1027" max="1027" width="6.5" style="213" bestFit="1" customWidth="1"/>
    <col min="1028" max="1028" width="0" style="213" hidden="1" customWidth="1"/>
    <col min="1029" max="1029" width="7" style="213" customWidth="1"/>
    <col min="1030" max="1030" width="1.6640625" style="213" bestFit="1" customWidth="1"/>
    <col min="1031" max="1046" width="7" style="213" customWidth="1"/>
    <col min="1047" max="1047" width="9" style="213" bestFit="1" customWidth="1"/>
    <col min="1048" max="1280" width="8.83203125" style="213"/>
    <col min="1281" max="1281" width="22.1640625" style="213" customWidth="1"/>
    <col min="1282" max="1282" width="3.33203125" style="213" bestFit="1" customWidth="1"/>
    <col min="1283" max="1283" width="6.5" style="213" bestFit="1" customWidth="1"/>
    <col min="1284" max="1284" width="0" style="213" hidden="1" customWidth="1"/>
    <col min="1285" max="1285" width="7" style="213" customWidth="1"/>
    <col min="1286" max="1286" width="1.6640625" style="213" bestFit="1" customWidth="1"/>
    <col min="1287" max="1302" width="7" style="213" customWidth="1"/>
    <col min="1303" max="1303" width="9" style="213" bestFit="1" customWidth="1"/>
    <col min="1304" max="1536" width="8.83203125" style="213"/>
    <col min="1537" max="1537" width="22.1640625" style="213" customWidth="1"/>
    <col min="1538" max="1538" width="3.33203125" style="213" bestFit="1" customWidth="1"/>
    <col min="1539" max="1539" width="6.5" style="213" bestFit="1" customWidth="1"/>
    <col min="1540" max="1540" width="0" style="213" hidden="1" customWidth="1"/>
    <col min="1541" max="1541" width="7" style="213" customWidth="1"/>
    <col min="1542" max="1542" width="1.6640625" style="213" bestFit="1" customWidth="1"/>
    <col min="1543" max="1558" width="7" style="213" customWidth="1"/>
    <col min="1559" max="1559" width="9" style="213" bestFit="1" customWidth="1"/>
    <col min="1560" max="1792" width="8.83203125" style="213"/>
    <col min="1793" max="1793" width="22.1640625" style="213" customWidth="1"/>
    <col min="1794" max="1794" width="3.33203125" style="213" bestFit="1" customWidth="1"/>
    <col min="1795" max="1795" width="6.5" style="213" bestFit="1" customWidth="1"/>
    <col min="1796" max="1796" width="0" style="213" hidden="1" customWidth="1"/>
    <col min="1797" max="1797" width="7" style="213" customWidth="1"/>
    <col min="1798" max="1798" width="1.6640625" style="213" bestFit="1" customWidth="1"/>
    <col min="1799" max="1814" width="7" style="213" customWidth="1"/>
    <col min="1815" max="1815" width="9" style="213" bestFit="1" customWidth="1"/>
    <col min="1816" max="2048" width="8.83203125" style="213"/>
    <col min="2049" max="2049" width="22.1640625" style="213" customWidth="1"/>
    <col min="2050" max="2050" width="3.33203125" style="213" bestFit="1" customWidth="1"/>
    <col min="2051" max="2051" width="6.5" style="213" bestFit="1" customWidth="1"/>
    <col min="2052" max="2052" width="0" style="213" hidden="1" customWidth="1"/>
    <col min="2053" max="2053" width="7" style="213" customWidth="1"/>
    <col min="2054" max="2054" width="1.6640625" style="213" bestFit="1" customWidth="1"/>
    <col min="2055" max="2070" width="7" style="213" customWidth="1"/>
    <col min="2071" max="2071" width="9" style="213" bestFit="1" customWidth="1"/>
    <col min="2072" max="2304" width="8.83203125" style="213"/>
    <col min="2305" max="2305" width="22.1640625" style="213" customWidth="1"/>
    <col min="2306" max="2306" width="3.33203125" style="213" bestFit="1" customWidth="1"/>
    <col min="2307" max="2307" width="6.5" style="213" bestFit="1" customWidth="1"/>
    <col min="2308" max="2308" width="0" style="213" hidden="1" customWidth="1"/>
    <col min="2309" max="2309" width="7" style="213" customWidth="1"/>
    <col min="2310" max="2310" width="1.6640625" style="213" bestFit="1" customWidth="1"/>
    <col min="2311" max="2326" width="7" style="213" customWidth="1"/>
    <col min="2327" max="2327" width="9" style="213" bestFit="1" customWidth="1"/>
    <col min="2328" max="2560" width="8.83203125" style="213"/>
    <col min="2561" max="2561" width="22.1640625" style="213" customWidth="1"/>
    <col min="2562" max="2562" width="3.33203125" style="213" bestFit="1" customWidth="1"/>
    <col min="2563" max="2563" width="6.5" style="213" bestFit="1" customWidth="1"/>
    <col min="2564" max="2564" width="0" style="213" hidden="1" customWidth="1"/>
    <col min="2565" max="2565" width="7" style="213" customWidth="1"/>
    <col min="2566" max="2566" width="1.6640625" style="213" bestFit="1" customWidth="1"/>
    <col min="2567" max="2582" width="7" style="213" customWidth="1"/>
    <col min="2583" max="2583" width="9" style="213" bestFit="1" customWidth="1"/>
    <col min="2584" max="2816" width="8.83203125" style="213"/>
    <col min="2817" max="2817" width="22.1640625" style="213" customWidth="1"/>
    <col min="2818" max="2818" width="3.33203125" style="213" bestFit="1" customWidth="1"/>
    <col min="2819" max="2819" width="6.5" style="213" bestFit="1" customWidth="1"/>
    <col min="2820" max="2820" width="0" style="213" hidden="1" customWidth="1"/>
    <col min="2821" max="2821" width="7" style="213" customWidth="1"/>
    <col min="2822" max="2822" width="1.6640625" style="213" bestFit="1" customWidth="1"/>
    <col min="2823" max="2838" width="7" style="213" customWidth="1"/>
    <col min="2839" max="2839" width="9" style="213" bestFit="1" customWidth="1"/>
    <col min="2840" max="3072" width="8.83203125" style="213"/>
    <col min="3073" max="3073" width="22.1640625" style="213" customWidth="1"/>
    <col min="3074" max="3074" width="3.33203125" style="213" bestFit="1" customWidth="1"/>
    <col min="3075" max="3075" width="6.5" style="213" bestFit="1" customWidth="1"/>
    <col min="3076" max="3076" width="0" style="213" hidden="1" customWidth="1"/>
    <col min="3077" max="3077" width="7" style="213" customWidth="1"/>
    <col min="3078" max="3078" width="1.6640625" style="213" bestFit="1" customWidth="1"/>
    <col min="3079" max="3094" width="7" style="213" customWidth="1"/>
    <col min="3095" max="3095" width="9" style="213" bestFit="1" customWidth="1"/>
    <col min="3096" max="3328" width="8.83203125" style="213"/>
    <col min="3329" max="3329" width="22.1640625" style="213" customWidth="1"/>
    <col min="3330" max="3330" width="3.33203125" style="213" bestFit="1" customWidth="1"/>
    <col min="3331" max="3331" width="6.5" style="213" bestFit="1" customWidth="1"/>
    <col min="3332" max="3332" width="0" style="213" hidden="1" customWidth="1"/>
    <col min="3333" max="3333" width="7" style="213" customWidth="1"/>
    <col min="3334" max="3334" width="1.6640625" style="213" bestFit="1" customWidth="1"/>
    <col min="3335" max="3350" width="7" style="213" customWidth="1"/>
    <col min="3351" max="3351" width="9" style="213" bestFit="1" customWidth="1"/>
    <col min="3352" max="3584" width="8.83203125" style="213"/>
    <col min="3585" max="3585" width="22.1640625" style="213" customWidth="1"/>
    <col min="3586" max="3586" width="3.33203125" style="213" bestFit="1" customWidth="1"/>
    <col min="3587" max="3587" width="6.5" style="213" bestFit="1" customWidth="1"/>
    <col min="3588" max="3588" width="0" style="213" hidden="1" customWidth="1"/>
    <col min="3589" max="3589" width="7" style="213" customWidth="1"/>
    <col min="3590" max="3590" width="1.6640625" style="213" bestFit="1" customWidth="1"/>
    <col min="3591" max="3606" width="7" style="213" customWidth="1"/>
    <col min="3607" max="3607" width="9" style="213" bestFit="1" customWidth="1"/>
    <col min="3608" max="3840" width="8.83203125" style="213"/>
    <col min="3841" max="3841" width="22.1640625" style="213" customWidth="1"/>
    <col min="3842" max="3842" width="3.33203125" style="213" bestFit="1" customWidth="1"/>
    <col min="3843" max="3843" width="6.5" style="213" bestFit="1" customWidth="1"/>
    <col min="3844" max="3844" width="0" style="213" hidden="1" customWidth="1"/>
    <col min="3845" max="3845" width="7" style="213" customWidth="1"/>
    <col min="3846" max="3846" width="1.6640625" style="213" bestFit="1" customWidth="1"/>
    <col min="3847" max="3862" width="7" style="213" customWidth="1"/>
    <col min="3863" max="3863" width="9" style="213" bestFit="1" customWidth="1"/>
    <col min="3864" max="4096" width="8.83203125" style="213"/>
    <col min="4097" max="4097" width="22.1640625" style="213" customWidth="1"/>
    <col min="4098" max="4098" width="3.33203125" style="213" bestFit="1" customWidth="1"/>
    <col min="4099" max="4099" width="6.5" style="213" bestFit="1" customWidth="1"/>
    <col min="4100" max="4100" width="0" style="213" hidden="1" customWidth="1"/>
    <col min="4101" max="4101" width="7" style="213" customWidth="1"/>
    <col min="4102" max="4102" width="1.6640625" style="213" bestFit="1" customWidth="1"/>
    <col min="4103" max="4118" width="7" style="213" customWidth="1"/>
    <col min="4119" max="4119" width="9" style="213" bestFit="1" customWidth="1"/>
    <col min="4120" max="4352" width="8.83203125" style="213"/>
    <col min="4353" max="4353" width="22.1640625" style="213" customWidth="1"/>
    <col min="4354" max="4354" width="3.33203125" style="213" bestFit="1" customWidth="1"/>
    <col min="4355" max="4355" width="6.5" style="213" bestFit="1" customWidth="1"/>
    <col min="4356" max="4356" width="0" style="213" hidden="1" customWidth="1"/>
    <col min="4357" max="4357" width="7" style="213" customWidth="1"/>
    <col min="4358" max="4358" width="1.6640625" style="213" bestFit="1" customWidth="1"/>
    <col min="4359" max="4374" width="7" style="213" customWidth="1"/>
    <col min="4375" max="4375" width="9" style="213" bestFit="1" customWidth="1"/>
    <col min="4376" max="4608" width="8.83203125" style="213"/>
    <col min="4609" max="4609" width="22.1640625" style="213" customWidth="1"/>
    <col min="4610" max="4610" width="3.33203125" style="213" bestFit="1" customWidth="1"/>
    <col min="4611" max="4611" width="6.5" style="213" bestFit="1" customWidth="1"/>
    <col min="4612" max="4612" width="0" style="213" hidden="1" customWidth="1"/>
    <col min="4613" max="4613" width="7" style="213" customWidth="1"/>
    <col min="4614" max="4614" width="1.6640625" style="213" bestFit="1" customWidth="1"/>
    <col min="4615" max="4630" width="7" style="213" customWidth="1"/>
    <col min="4631" max="4631" width="9" style="213" bestFit="1" customWidth="1"/>
    <col min="4632" max="4864" width="8.83203125" style="213"/>
    <col min="4865" max="4865" width="22.1640625" style="213" customWidth="1"/>
    <col min="4866" max="4866" width="3.33203125" style="213" bestFit="1" customWidth="1"/>
    <col min="4867" max="4867" width="6.5" style="213" bestFit="1" customWidth="1"/>
    <col min="4868" max="4868" width="0" style="213" hidden="1" customWidth="1"/>
    <col min="4869" max="4869" width="7" style="213" customWidth="1"/>
    <col min="4870" max="4870" width="1.6640625" style="213" bestFit="1" customWidth="1"/>
    <col min="4871" max="4886" width="7" style="213" customWidth="1"/>
    <col min="4887" max="4887" width="9" style="213" bestFit="1" customWidth="1"/>
    <col min="4888" max="5120" width="8.83203125" style="213"/>
    <col min="5121" max="5121" width="22.1640625" style="213" customWidth="1"/>
    <col min="5122" max="5122" width="3.33203125" style="213" bestFit="1" customWidth="1"/>
    <col min="5123" max="5123" width="6.5" style="213" bestFit="1" customWidth="1"/>
    <col min="5124" max="5124" width="0" style="213" hidden="1" customWidth="1"/>
    <col min="5125" max="5125" width="7" style="213" customWidth="1"/>
    <col min="5126" max="5126" width="1.6640625" style="213" bestFit="1" customWidth="1"/>
    <col min="5127" max="5142" width="7" style="213" customWidth="1"/>
    <col min="5143" max="5143" width="9" style="213" bestFit="1" customWidth="1"/>
    <col min="5144" max="5376" width="8.83203125" style="213"/>
    <col min="5377" max="5377" width="22.1640625" style="213" customWidth="1"/>
    <col min="5378" max="5378" width="3.33203125" style="213" bestFit="1" customWidth="1"/>
    <col min="5379" max="5379" width="6.5" style="213" bestFit="1" customWidth="1"/>
    <col min="5380" max="5380" width="0" style="213" hidden="1" customWidth="1"/>
    <col min="5381" max="5381" width="7" style="213" customWidth="1"/>
    <col min="5382" max="5382" width="1.6640625" style="213" bestFit="1" customWidth="1"/>
    <col min="5383" max="5398" width="7" style="213" customWidth="1"/>
    <col min="5399" max="5399" width="9" style="213" bestFit="1" customWidth="1"/>
    <col min="5400" max="5632" width="8.83203125" style="213"/>
    <col min="5633" max="5633" width="22.1640625" style="213" customWidth="1"/>
    <col min="5634" max="5634" width="3.33203125" style="213" bestFit="1" customWidth="1"/>
    <col min="5635" max="5635" width="6.5" style="213" bestFit="1" customWidth="1"/>
    <col min="5636" max="5636" width="0" style="213" hidden="1" customWidth="1"/>
    <col min="5637" max="5637" width="7" style="213" customWidth="1"/>
    <col min="5638" max="5638" width="1.6640625" style="213" bestFit="1" customWidth="1"/>
    <col min="5639" max="5654" width="7" style="213" customWidth="1"/>
    <col min="5655" max="5655" width="9" style="213" bestFit="1" customWidth="1"/>
    <col min="5656" max="5888" width="8.83203125" style="213"/>
    <col min="5889" max="5889" width="22.1640625" style="213" customWidth="1"/>
    <col min="5890" max="5890" width="3.33203125" style="213" bestFit="1" customWidth="1"/>
    <col min="5891" max="5891" width="6.5" style="213" bestFit="1" customWidth="1"/>
    <col min="5892" max="5892" width="0" style="213" hidden="1" customWidth="1"/>
    <col min="5893" max="5893" width="7" style="213" customWidth="1"/>
    <col min="5894" max="5894" width="1.6640625" style="213" bestFit="1" customWidth="1"/>
    <col min="5895" max="5910" width="7" style="213" customWidth="1"/>
    <col min="5911" max="5911" width="9" style="213" bestFit="1" customWidth="1"/>
    <col min="5912" max="6144" width="8.83203125" style="213"/>
    <col min="6145" max="6145" width="22.1640625" style="213" customWidth="1"/>
    <col min="6146" max="6146" width="3.33203125" style="213" bestFit="1" customWidth="1"/>
    <col min="6147" max="6147" width="6.5" style="213" bestFit="1" customWidth="1"/>
    <col min="6148" max="6148" width="0" style="213" hidden="1" customWidth="1"/>
    <col min="6149" max="6149" width="7" style="213" customWidth="1"/>
    <col min="6150" max="6150" width="1.6640625" style="213" bestFit="1" customWidth="1"/>
    <col min="6151" max="6166" width="7" style="213" customWidth="1"/>
    <col min="6167" max="6167" width="9" style="213" bestFit="1" customWidth="1"/>
    <col min="6168" max="6400" width="8.83203125" style="213"/>
    <col min="6401" max="6401" width="22.1640625" style="213" customWidth="1"/>
    <col min="6402" max="6402" width="3.33203125" style="213" bestFit="1" customWidth="1"/>
    <col min="6403" max="6403" width="6.5" style="213" bestFit="1" customWidth="1"/>
    <col min="6404" max="6404" width="0" style="213" hidden="1" customWidth="1"/>
    <col min="6405" max="6405" width="7" style="213" customWidth="1"/>
    <col min="6406" max="6406" width="1.6640625" style="213" bestFit="1" customWidth="1"/>
    <col min="6407" max="6422" width="7" style="213" customWidth="1"/>
    <col min="6423" max="6423" width="9" style="213" bestFit="1" customWidth="1"/>
    <col min="6424" max="6656" width="8.83203125" style="213"/>
    <col min="6657" max="6657" width="22.1640625" style="213" customWidth="1"/>
    <col min="6658" max="6658" width="3.33203125" style="213" bestFit="1" customWidth="1"/>
    <col min="6659" max="6659" width="6.5" style="213" bestFit="1" customWidth="1"/>
    <col min="6660" max="6660" width="0" style="213" hidden="1" customWidth="1"/>
    <col min="6661" max="6661" width="7" style="213" customWidth="1"/>
    <col min="6662" max="6662" width="1.6640625" style="213" bestFit="1" customWidth="1"/>
    <col min="6663" max="6678" width="7" style="213" customWidth="1"/>
    <col min="6679" max="6679" width="9" style="213" bestFit="1" customWidth="1"/>
    <col min="6680" max="6912" width="8.83203125" style="213"/>
    <col min="6913" max="6913" width="22.1640625" style="213" customWidth="1"/>
    <col min="6914" max="6914" width="3.33203125" style="213" bestFit="1" customWidth="1"/>
    <col min="6915" max="6915" width="6.5" style="213" bestFit="1" customWidth="1"/>
    <col min="6916" max="6916" width="0" style="213" hidden="1" customWidth="1"/>
    <col min="6917" max="6917" width="7" style="213" customWidth="1"/>
    <col min="6918" max="6918" width="1.6640625" style="213" bestFit="1" customWidth="1"/>
    <col min="6919" max="6934" width="7" style="213" customWidth="1"/>
    <col min="6935" max="6935" width="9" style="213" bestFit="1" customWidth="1"/>
    <col min="6936" max="7168" width="8.83203125" style="213"/>
    <col min="7169" max="7169" width="22.1640625" style="213" customWidth="1"/>
    <col min="7170" max="7170" width="3.33203125" style="213" bestFit="1" customWidth="1"/>
    <col min="7171" max="7171" width="6.5" style="213" bestFit="1" customWidth="1"/>
    <col min="7172" max="7172" width="0" style="213" hidden="1" customWidth="1"/>
    <col min="7173" max="7173" width="7" style="213" customWidth="1"/>
    <col min="7174" max="7174" width="1.6640625" style="213" bestFit="1" customWidth="1"/>
    <col min="7175" max="7190" width="7" style="213" customWidth="1"/>
    <col min="7191" max="7191" width="9" style="213" bestFit="1" customWidth="1"/>
    <col min="7192" max="7424" width="8.83203125" style="213"/>
    <col min="7425" max="7425" width="22.1640625" style="213" customWidth="1"/>
    <col min="7426" max="7426" width="3.33203125" style="213" bestFit="1" customWidth="1"/>
    <col min="7427" max="7427" width="6.5" style="213" bestFit="1" customWidth="1"/>
    <col min="7428" max="7428" width="0" style="213" hidden="1" customWidth="1"/>
    <col min="7429" max="7429" width="7" style="213" customWidth="1"/>
    <col min="7430" max="7430" width="1.6640625" style="213" bestFit="1" customWidth="1"/>
    <col min="7431" max="7446" width="7" style="213" customWidth="1"/>
    <col min="7447" max="7447" width="9" style="213" bestFit="1" customWidth="1"/>
    <col min="7448" max="7680" width="8.83203125" style="213"/>
    <col min="7681" max="7681" width="22.1640625" style="213" customWidth="1"/>
    <col min="7682" max="7682" width="3.33203125" style="213" bestFit="1" customWidth="1"/>
    <col min="7683" max="7683" width="6.5" style="213" bestFit="1" customWidth="1"/>
    <col min="7684" max="7684" width="0" style="213" hidden="1" customWidth="1"/>
    <col min="7685" max="7685" width="7" style="213" customWidth="1"/>
    <col min="7686" max="7686" width="1.6640625" style="213" bestFit="1" customWidth="1"/>
    <col min="7687" max="7702" width="7" style="213" customWidth="1"/>
    <col min="7703" max="7703" width="9" style="213" bestFit="1" customWidth="1"/>
    <col min="7704" max="7936" width="8.83203125" style="213"/>
    <col min="7937" max="7937" width="22.1640625" style="213" customWidth="1"/>
    <col min="7938" max="7938" width="3.33203125" style="213" bestFit="1" customWidth="1"/>
    <col min="7939" max="7939" width="6.5" style="213" bestFit="1" customWidth="1"/>
    <col min="7940" max="7940" width="0" style="213" hidden="1" customWidth="1"/>
    <col min="7941" max="7941" width="7" style="213" customWidth="1"/>
    <col min="7942" max="7942" width="1.6640625" style="213" bestFit="1" customWidth="1"/>
    <col min="7943" max="7958" width="7" style="213" customWidth="1"/>
    <col min="7959" max="7959" width="9" style="213" bestFit="1" customWidth="1"/>
    <col min="7960" max="8192" width="8.83203125" style="213"/>
    <col min="8193" max="8193" width="22.1640625" style="213" customWidth="1"/>
    <col min="8194" max="8194" width="3.33203125" style="213" bestFit="1" customWidth="1"/>
    <col min="8195" max="8195" width="6.5" style="213" bestFit="1" customWidth="1"/>
    <col min="8196" max="8196" width="0" style="213" hidden="1" customWidth="1"/>
    <col min="8197" max="8197" width="7" style="213" customWidth="1"/>
    <col min="8198" max="8198" width="1.6640625" style="213" bestFit="1" customWidth="1"/>
    <col min="8199" max="8214" width="7" style="213" customWidth="1"/>
    <col min="8215" max="8215" width="9" style="213" bestFit="1" customWidth="1"/>
    <col min="8216" max="8448" width="8.83203125" style="213"/>
    <col min="8449" max="8449" width="22.1640625" style="213" customWidth="1"/>
    <col min="8450" max="8450" width="3.33203125" style="213" bestFit="1" customWidth="1"/>
    <col min="8451" max="8451" width="6.5" style="213" bestFit="1" customWidth="1"/>
    <col min="8452" max="8452" width="0" style="213" hidden="1" customWidth="1"/>
    <col min="8453" max="8453" width="7" style="213" customWidth="1"/>
    <col min="8454" max="8454" width="1.6640625" style="213" bestFit="1" customWidth="1"/>
    <col min="8455" max="8470" width="7" style="213" customWidth="1"/>
    <col min="8471" max="8471" width="9" style="213" bestFit="1" customWidth="1"/>
    <col min="8472" max="8704" width="8.83203125" style="213"/>
    <col min="8705" max="8705" width="22.1640625" style="213" customWidth="1"/>
    <col min="8706" max="8706" width="3.33203125" style="213" bestFit="1" customWidth="1"/>
    <col min="8707" max="8707" width="6.5" style="213" bestFit="1" customWidth="1"/>
    <col min="8708" max="8708" width="0" style="213" hidden="1" customWidth="1"/>
    <col min="8709" max="8709" width="7" style="213" customWidth="1"/>
    <col min="8710" max="8710" width="1.6640625" style="213" bestFit="1" customWidth="1"/>
    <col min="8711" max="8726" width="7" style="213" customWidth="1"/>
    <col min="8727" max="8727" width="9" style="213" bestFit="1" customWidth="1"/>
    <col min="8728" max="8960" width="8.83203125" style="213"/>
    <col min="8961" max="8961" width="22.1640625" style="213" customWidth="1"/>
    <col min="8962" max="8962" width="3.33203125" style="213" bestFit="1" customWidth="1"/>
    <col min="8963" max="8963" width="6.5" style="213" bestFit="1" customWidth="1"/>
    <col min="8964" max="8964" width="0" style="213" hidden="1" customWidth="1"/>
    <col min="8965" max="8965" width="7" style="213" customWidth="1"/>
    <col min="8966" max="8966" width="1.6640625" style="213" bestFit="1" customWidth="1"/>
    <col min="8967" max="8982" width="7" style="213" customWidth="1"/>
    <col min="8983" max="8983" width="9" style="213" bestFit="1" customWidth="1"/>
    <col min="8984" max="9216" width="8.83203125" style="213"/>
    <col min="9217" max="9217" width="22.1640625" style="213" customWidth="1"/>
    <col min="9218" max="9218" width="3.33203125" style="213" bestFit="1" customWidth="1"/>
    <col min="9219" max="9219" width="6.5" style="213" bestFit="1" customWidth="1"/>
    <col min="9220" max="9220" width="0" style="213" hidden="1" customWidth="1"/>
    <col min="9221" max="9221" width="7" style="213" customWidth="1"/>
    <col min="9222" max="9222" width="1.6640625" style="213" bestFit="1" customWidth="1"/>
    <col min="9223" max="9238" width="7" style="213" customWidth="1"/>
    <col min="9239" max="9239" width="9" style="213" bestFit="1" customWidth="1"/>
    <col min="9240" max="9472" width="8.83203125" style="213"/>
    <col min="9473" max="9473" width="22.1640625" style="213" customWidth="1"/>
    <col min="9474" max="9474" width="3.33203125" style="213" bestFit="1" customWidth="1"/>
    <col min="9475" max="9475" width="6.5" style="213" bestFit="1" customWidth="1"/>
    <col min="9476" max="9476" width="0" style="213" hidden="1" customWidth="1"/>
    <col min="9477" max="9477" width="7" style="213" customWidth="1"/>
    <col min="9478" max="9478" width="1.6640625" style="213" bestFit="1" customWidth="1"/>
    <col min="9479" max="9494" width="7" style="213" customWidth="1"/>
    <col min="9495" max="9495" width="9" style="213" bestFit="1" customWidth="1"/>
    <col min="9496" max="9728" width="8.83203125" style="213"/>
    <col min="9729" max="9729" width="22.1640625" style="213" customWidth="1"/>
    <col min="9730" max="9730" width="3.33203125" style="213" bestFit="1" customWidth="1"/>
    <col min="9731" max="9731" width="6.5" style="213" bestFit="1" customWidth="1"/>
    <col min="9732" max="9732" width="0" style="213" hidden="1" customWidth="1"/>
    <col min="9733" max="9733" width="7" style="213" customWidth="1"/>
    <col min="9734" max="9734" width="1.6640625" style="213" bestFit="1" customWidth="1"/>
    <col min="9735" max="9750" width="7" style="213" customWidth="1"/>
    <col min="9751" max="9751" width="9" style="213" bestFit="1" customWidth="1"/>
    <col min="9752" max="9984" width="8.83203125" style="213"/>
    <col min="9985" max="9985" width="22.1640625" style="213" customWidth="1"/>
    <col min="9986" max="9986" width="3.33203125" style="213" bestFit="1" customWidth="1"/>
    <col min="9987" max="9987" width="6.5" style="213" bestFit="1" customWidth="1"/>
    <col min="9988" max="9988" width="0" style="213" hidden="1" customWidth="1"/>
    <col min="9989" max="9989" width="7" style="213" customWidth="1"/>
    <col min="9990" max="9990" width="1.6640625" style="213" bestFit="1" customWidth="1"/>
    <col min="9991" max="10006" width="7" style="213" customWidth="1"/>
    <col min="10007" max="10007" width="9" style="213" bestFit="1" customWidth="1"/>
    <col min="10008" max="10240" width="8.83203125" style="213"/>
    <col min="10241" max="10241" width="22.1640625" style="213" customWidth="1"/>
    <col min="10242" max="10242" width="3.33203125" style="213" bestFit="1" customWidth="1"/>
    <col min="10243" max="10243" width="6.5" style="213" bestFit="1" customWidth="1"/>
    <col min="10244" max="10244" width="0" style="213" hidden="1" customWidth="1"/>
    <col min="10245" max="10245" width="7" style="213" customWidth="1"/>
    <col min="10246" max="10246" width="1.6640625" style="213" bestFit="1" customWidth="1"/>
    <col min="10247" max="10262" width="7" style="213" customWidth="1"/>
    <col min="10263" max="10263" width="9" style="213" bestFit="1" customWidth="1"/>
    <col min="10264" max="10496" width="8.83203125" style="213"/>
    <col min="10497" max="10497" width="22.1640625" style="213" customWidth="1"/>
    <col min="10498" max="10498" width="3.33203125" style="213" bestFit="1" customWidth="1"/>
    <col min="10499" max="10499" width="6.5" style="213" bestFit="1" customWidth="1"/>
    <col min="10500" max="10500" width="0" style="213" hidden="1" customWidth="1"/>
    <col min="10501" max="10501" width="7" style="213" customWidth="1"/>
    <col min="10502" max="10502" width="1.6640625" style="213" bestFit="1" customWidth="1"/>
    <col min="10503" max="10518" width="7" style="213" customWidth="1"/>
    <col min="10519" max="10519" width="9" style="213" bestFit="1" customWidth="1"/>
    <col min="10520" max="10752" width="8.83203125" style="213"/>
    <col min="10753" max="10753" width="22.1640625" style="213" customWidth="1"/>
    <col min="10754" max="10754" width="3.33203125" style="213" bestFit="1" customWidth="1"/>
    <col min="10755" max="10755" width="6.5" style="213" bestFit="1" customWidth="1"/>
    <col min="10756" max="10756" width="0" style="213" hidden="1" customWidth="1"/>
    <col min="10757" max="10757" width="7" style="213" customWidth="1"/>
    <col min="10758" max="10758" width="1.6640625" style="213" bestFit="1" customWidth="1"/>
    <col min="10759" max="10774" width="7" style="213" customWidth="1"/>
    <col min="10775" max="10775" width="9" style="213" bestFit="1" customWidth="1"/>
    <col min="10776" max="11008" width="8.83203125" style="213"/>
    <col min="11009" max="11009" width="22.1640625" style="213" customWidth="1"/>
    <col min="11010" max="11010" width="3.33203125" style="213" bestFit="1" customWidth="1"/>
    <col min="11011" max="11011" width="6.5" style="213" bestFit="1" customWidth="1"/>
    <col min="11012" max="11012" width="0" style="213" hidden="1" customWidth="1"/>
    <col min="11013" max="11013" width="7" style="213" customWidth="1"/>
    <col min="11014" max="11014" width="1.6640625" style="213" bestFit="1" customWidth="1"/>
    <col min="11015" max="11030" width="7" style="213" customWidth="1"/>
    <col min="11031" max="11031" width="9" style="213" bestFit="1" customWidth="1"/>
    <col min="11032" max="11264" width="8.83203125" style="213"/>
    <col min="11265" max="11265" width="22.1640625" style="213" customWidth="1"/>
    <col min="11266" max="11266" width="3.33203125" style="213" bestFit="1" customWidth="1"/>
    <col min="11267" max="11267" width="6.5" style="213" bestFit="1" customWidth="1"/>
    <col min="11268" max="11268" width="0" style="213" hidden="1" customWidth="1"/>
    <col min="11269" max="11269" width="7" style="213" customWidth="1"/>
    <col min="11270" max="11270" width="1.6640625" style="213" bestFit="1" customWidth="1"/>
    <col min="11271" max="11286" width="7" style="213" customWidth="1"/>
    <col min="11287" max="11287" width="9" style="213" bestFit="1" customWidth="1"/>
    <col min="11288" max="11520" width="8.83203125" style="213"/>
    <col min="11521" max="11521" width="22.1640625" style="213" customWidth="1"/>
    <col min="11522" max="11522" width="3.33203125" style="213" bestFit="1" customWidth="1"/>
    <col min="11523" max="11523" width="6.5" style="213" bestFit="1" customWidth="1"/>
    <col min="11524" max="11524" width="0" style="213" hidden="1" customWidth="1"/>
    <col min="11525" max="11525" width="7" style="213" customWidth="1"/>
    <col min="11526" max="11526" width="1.6640625" style="213" bestFit="1" customWidth="1"/>
    <col min="11527" max="11542" width="7" style="213" customWidth="1"/>
    <col min="11543" max="11543" width="9" style="213" bestFit="1" customWidth="1"/>
    <col min="11544" max="11776" width="8.83203125" style="213"/>
    <col min="11777" max="11777" width="22.1640625" style="213" customWidth="1"/>
    <col min="11778" max="11778" width="3.33203125" style="213" bestFit="1" customWidth="1"/>
    <col min="11779" max="11779" width="6.5" style="213" bestFit="1" customWidth="1"/>
    <col min="11780" max="11780" width="0" style="213" hidden="1" customWidth="1"/>
    <col min="11781" max="11781" width="7" style="213" customWidth="1"/>
    <col min="11782" max="11782" width="1.6640625" style="213" bestFit="1" customWidth="1"/>
    <col min="11783" max="11798" width="7" style="213" customWidth="1"/>
    <col min="11799" max="11799" width="9" style="213" bestFit="1" customWidth="1"/>
    <col min="11800" max="12032" width="8.83203125" style="213"/>
    <col min="12033" max="12033" width="22.1640625" style="213" customWidth="1"/>
    <col min="12034" max="12034" width="3.33203125" style="213" bestFit="1" customWidth="1"/>
    <col min="12035" max="12035" width="6.5" style="213" bestFit="1" customWidth="1"/>
    <col min="12036" max="12036" width="0" style="213" hidden="1" customWidth="1"/>
    <col min="12037" max="12037" width="7" style="213" customWidth="1"/>
    <col min="12038" max="12038" width="1.6640625" style="213" bestFit="1" customWidth="1"/>
    <col min="12039" max="12054" width="7" style="213" customWidth="1"/>
    <col min="12055" max="12055" width="9" style="213" bestFit="1" customWidth="1"/>
    <col min="12056" max="12288" width="8.83203125" style="213"/>
    <col min="12289" max="12289" width="22.1640625" style="213" customWidth="1"/>
    <col min="12290" max="12290" width="3.33203125" style="213" bestFit="1" customWidth="1"/>
    <col min="12291" max="12291" width="6.5" style="213" bestFit="1" customWidth="1"/>
    <col min="12292" max="12292" width="0" style="213" hidden="1" customWidth="1"/>
    <col min="12293" max="12293" width="7" style="213" customWidth="1"/>
    <col min="12294" max="12294" width="1.6640625" style="213" bestFit="1" customWidth="1"/>
    <col min="12295" max="12310" width="7" style="213" customWidth="1"/>
    <col min="12311" max="12311" width="9" style="213" bestFit="1" customWidth="1"/>
    <col min="12312" max="12544" width="8.83203125" style="213"/>
    <col min="12545" max="12545" width="22.1640625" style="213" customWidth="1"/>
    <col min="12546" max="12546" width="3.33203125" style="213" bestFit="1" customWidth="1"/>
    <col min="12547" max="12547" width="6.5" style="213" bestFit="1" customWidth="1"/>
    <col min="12548" max="12548" width="0" style="213" hidden="1" customWidth="1"/>
    <col min="12549" max="12549" width="7" style="213" customWidth="1"/>
    <col min="12550" max="12550" width="1.6640625" style="213" bestFit="1" customWidth="1"/>
    <col min="12551" max="12566" width="7" style="213" customWidth="1"/>
    <col min="12567" max="12567" width="9" style="213" bestFit="1" customWidth="1"/>
    <col min="12568" max="12800" width="8.83203125" style="213"/>
    <col min="12801" max="12801" width="22.1640625" style="213" customWidth="1"/>
    <col min="12802" max="12802" width="3.33203125" style="213" bestFit="1" customWidth="1"/>
    <col min="12803" max="12803" width="6.5" style="213" bestFit="1" customWidth="1"/>
    <col min="12804" max="12804" width="0" style="213" hidden="1" customWidth="1"/>
    <col min="12805" max="12805" width="7" style="213" customWidth="1"/>
    <col min="12806" max="12806" width="1.6640625" style="213" bestFit="1" customWidth="1"/>
    <col min="12807" max="12822" width="7" style="213" customWidth="1"/>
    <col min="12823" max="12823" width="9" style="213" bestFit="1" customWidth="1"/>
    <col min="12824" max="13056" width="8.83203125" style="213"/>
    <col min="13057" max="13057" width="22.1640625" style="213" customWidth="1"/>
    <col min="13058" max="13058" width="3.33203125" style="213" bestFit="1" customWidth="1"/>
    <col min="13059" max="13059" width="6.5" style="213" bestFit="1" customWidth="1"/>
    <col min="13060" max="13060" width="0" style="213" hidden="1" customWidth="1"/>
    <col min="13061" max="13061" width="7" style="213" customWidth="1"/>
    <col min="13062" max="13062" width="1.6640625" style="213" bestFit="1" customWidth="1"/>
    <col min="13063" max="13078" width="7" style="213" customWidth="1"/>
    <col min="13079" max="13079" width="9" style="213" bestFit="1" customWidth="1"/>
    <col min="13080" max="13312" width="8.83203125" style="213"/>
    <col min="13313" max="13313" width="22.1640625" style="213" customWidth="1"/>
    <col min="13314" max="13314" width="3.33203125" style="213" bestFit="1" customWidth="1"/>
    <col min="13315" max="13315" width="6.5" style="213" bestFit="1" customWidth="1"/>
    <col min="13316" max="13316" width="0" style="213" hidden="1" customWidth="1"/>
    <col min="13317" max="13317" width="7" style="213" customWidth="1"/>
    <col min="13318" max="13318" width="1.6640625" style="213" bestFit="1" customWidth="1"/>
    <col min="13319" max="13334" width="7" style="213" customWidth="1"/>
    <col min="13335" max="13335" width="9" style="213" bestFit="1" customWidth="1"/>
    <col min="13336" max="13568" width="8.83203125" style="213"/>
    <col min="13569" max="13569" width="22.1640625" style="213" customWidth="1"/>
    <col min="13570" max="13570" width="3.33203125" style="213" bestFit="1" customWidth="1"/>
    <col min="13571" max="13571" width="6.5" style="213" bestFit="1" customWidth="1"/>
    <col min="13572" max="13572" width="0" style="213" hidden="1" customWidth="1"/>
    <col min="13573" max="13573" width="7" style="213" customWidth="1"/>
    <col min="13574" max="13574" width="1.6640625" style="213" bestFit="1" customWidth="1"/>
    <col min="13575" max="13590" width="7" style="213" customWidth="1"/>
    <col min="13591" max="13591" width="9" style="213" bestFit="1" customWidth="1"/>
    <col min="13592" max="13824" width="8.83203125" style="213"/>
    <col min="13825" max="13825" width="22.1640625" style="213" customWidth="1"/>
    <col min="13826" max="13826" width="3.33203125" style="213" bestFit="1" customWidth="1"/>
    <col min="13827" max="13827" width="6.5" style="213" bestFit="1" customWidth="1"/>
    <col min="13828" max="13828" width="0" style="213" hidden="1" customWidth="1"/>
    <col min="13829" max="13829" width="7" style="213" customWidth="1"/>
    <col min="13830" max="13830" width="1.6640625" style="213" bestFit="1" customWidth="1"/>
    <col min="13831" max="13846" width="7" style="213" customWidth="1"/>
    <col min="13847" max="13847" width="9" style="213" bestFit="1" customWidth="1"/>
    <col min="13848" max="14080" width="8.83203125" style="213"/>
    <col min="14081" max="14081" width="22.1640625" style="213" customWidth="1"/>
    <col min="14082" max="14082" width="3.33203125" style="213" bestFit="1" customWidth="1"/>
    <col min="14083" max="14083" width="6.5" style="213" bestFit="1" customWidth="1"/>
    <col min="14084" max="14084" width="0" style="213" hidden="1" customWidth="1"/>
    <col min="14085" max="14085" width="7" style="213" customWidth="1"/>
    <col min="14086" max="14086" width="1.6640625" style="213" bestFit="1" customWidth="1"/>
    <col min="14087" max="14102" width="7" style="213" customWidth="1"/>
    <col min="14103" max="14103" width="9" style="213" bestFit="1" customWidth="1"/>
    <col min="14104" max="14336" width="8.83203125" style="213"/>
    <col min="14337" max="14337" width="22.1640625" style="213" customWidth="1"/>
    <col min="14338" max="14338" width="3.33203125" style="213" bestFit="1" customWidth="1"/>
    <col min="14339" max="14339" width="6.5" style="213" bestFit="1" customWidth="1"/>
    <col min="14340" max="14340" width="0" style="213" hidden="1" customWidth="1"/>
    <col min="14341" max="14341" width="7" style="213" customWidth="1"/>
    <col min="14342" max="14342" width="1.6640625" style="213" bestFit="1" customWidth="1"/>
    <col min="14343" max="14358" width="7" style="213" customWidth="1"/>
    <col min="14359" max="14359" width="9" style="213" bestFit="1" customWidth="1"/>
    <col min="14360" max="14592" width="8.83203125" style="213"/>
    <col min="14593" max="14593" width="22.1640625" style="213" customWidth="1"/>
    <col min="14594" max="14594" width="3.33203125" style="213" bestFit="1" customWidth="1"/>
    <col min="14595" max="14595" width="6.5" style="213" bestFit="1" customWidth="1"/>
    <col min="14596" max="14596" width="0" style="213" hidden="1" customWidth="1"/>
    <col min="14597" max="14597" width="7" style="213" customWidth="1"/>
    <col min="14598" max="14598" width="1.6640625" style="213" bestFit="1" customWidth="1"/>
    <col min="14599" max="14614" width="7" style="213" customWidth="1"/>
    <col min="14615" max="14615" width="9" style="213" bestFit="1" customWidth="1"/>
    <col min="14616" max="14848" width="8.83203125" style="213"/>
    <col min="14849" max="14849" width="22.1640625" style="213" customWidth="1"/>
    <col min="14850" max="14850" width="3.33203125" style="213" bestFit="1" customWidth="1"/>
    <col min="14851" max="14851" width="6.5" style="213" bestFit="1" customWidth="1"/>
    <col min="14852" max="14852" width="0" style="213" hidden="1" customWidth="1"/>
    <col min="14853" max="14853" width="7" style="213" customWidth="1"/>
    <col min="14854" max="14854" width="1.6640625" style="213" bestFit="1" customWidth="1"/>
    <col min="14855" max="14870" width="7" style="213" customWidth="1"/>
    <col min="14871" max="14871" width="9" style="213" bestFit="1" customWidth="1"/>
    <col min="14872" max="15104" width="8.83203125" style="213"/>
    <col min="15105" max="15105" width="22.1640625" style="213" customWidth="1"/>
    <col min="15106" max="15106" width="3.33203125" style="213" bestFit="1" customWidth="1"/>
    <col min="15107" max="15107" width="6.5" style="213" bestFit="1" customWidth="1"/>
    <col min="15108" max="15108" width="0" style="213" hidden="1" customWidth="1"/>
    <col min="15109" max="15109" width="7" style="213" customWidth="1"/>
    <col min="15110" max="15110" width="1.6640625" style="213" bestFit="1" customWidth="1"/>
    <col min="15111" max="15126" width="7" style="213" customWidth="1"/>
    <col min="15127" max="15127" width="9" style="213" bestFit="1" customWidth="1"/>
    <col min="15128" max="15360" width="8.83203125" style="213"/>
    <col min="15361" max="15361" width="22.1640625" style="213" customWidth="1"/>
    <col min="15362" max="15362" width="3.33203125" style="213" bestFit="1" customWidth="1"/>
    <col min="15363" max="15363" width="6.5" style="213" bestFit="1" customWidth="1"/>
    <col min="15364" max="15364" width="0" style="213" hidden="1" customWidth="1"/>
    <col min="15365" max="15365" width="7" style="213" customWidth="1"/>
    <col min="15366" max="15366" width="1.6640625" style="213" bestFit="1" customWidth="1"/>
    <col min="15367" max="15382" width="7" style="213" customWidth="1"/>
    <col min="15383" max="15383" width="9" style="213" bestFit="1" customWidth="1"/>
    <col min="15384" max="15616" width="8.83203125" style="213"/>
    <col min="15617" max="15617" width="22.1640625" style="213" customWidth="1"/>
    <col min="15618" max="15618" width="3.33203125" style="213" bestFit="1" customWidth="1"/>
    <col min="15619" max="15619" width="6.5" style="213" bestFit="1" customWidth="1"/>
    <col min="15620" max="15620" width="0" style="213" hidden="1" customWidth="1"/>
    <col min="15621" max="15621" width="7" style="213" customWidth="1"/>
    <col min="15622" max="15622" width="1.6640625" style="213" bestFit="1" customWidth="1"/>
    <col min="15623" max="15638" width="7" style="213" customWidth="1"/>
    <col min="15639" max="15639" width="9" style="213" bestFit="1" customWidth="1"/>
    <col min="15640" max="15872" width="8.83203125" style="213"/>
    <col min="15873" max="15873" width="22.1640625" style="213" customWidth="1"/>
    <col min="15874" max="15874" width="3.33203125" style="213" bestFit="1" customWidth="1"/>
    <col min="15875" max="15875" width="6.5" style="213" bestFit="1" customWidth="1"/>
    <col min="15876" max="15876" width="0" style="213" hidden="1" customWidth="1"/>
    <col min="15877" max="15877" width="7" style="213" customWidth="1"/>
    <col min="15878" max="15878" width="1.6640625" style="213" bestFit="1" customWidth="1"/>
    <col min="15879" max="15894" width="7" style="213" customWidth="1"/>
    <col min="15895" max="15895" width="9" style="213" bestFit="1" customWidth="1"/>
    <col min="15896" max="16128" width="8.83203125" style="213"/>
    <col min="16129" max="16129" width="22.1640625" style="213" customWidth="1"/>
    <col min="16130" max="16130" width="3.33203125" style="213" bestFit="1" customWidth="1"/>
    <col min="16131" max="16131" width="6.5" style="213" bestFit="1" customWidth="1"/>
    <col min="16132" max="16132" width="0" style="213" hidden="1" customWidth="1"/>
    <col min="16133" max="16133" width="7" style="213" customWidth="1"/>
    <col min="16134" max="16134" width="1.6640625" style="213" bestFit="1" customWidth="1"/>
    <col min="16135" max="16150" width="7" style="213" customWidth="1"/>
    <col min="16151" max="16151" width="9" style="213" bestFit="1" customWidth="1"/>
    <col min="16152" max="16384" width="8.83203125" style="213"/>
  </cols>
  <sheetData>
    <row r="1" spans="1:24" s="212" customFormat="1" ht="14" thickBot="1" x14ac:dyDescent="0.2">
      <c r="A1" s="457" t="s">
        <v>1327</v>
      </c>
      <c r="B1" s="457"/>
      <c r="C1" s="457"/>
      <c r="D1" s="457"/>
      <c r="E1" s="457"/>
      <c r="F1" s="457"/>
      <c r="G1" s="457"/>
      <c r="H1" s="458"/>
      <c r="I1" s="458"/>
      <c r="J1" s="458"/>
      <c r="K1" s="458"/>
      <c r="L1" s="458"/>
      <c r="M1" s="458"/>
      <c r="N1" s="457"/>
      <c r="O1" s="457"/>
      <c r="P1" s="457"/>
      <c r="Q1" s="457"/>
      <c r="R1" s="458"/>
      <c r="S1" s="457"/>
      <c r="T1" s="457"/>
      <c r="U1" s="457"/>
      <c r="V1" s="457"/>
      <c r="W1" s="459"/>
      <c r="X1" s="18"/>
    </row>
    <row r="2" spans="1:24" s="212" customFormat="1" ht="14" thickTop="1" x14ac:dyDescent="0.15">
      <c r="A2" s="460"/>
      <c r="B2" s="461" t="s">
        <v>608</v>
      </c>
      <c r="C2" s="462"/>
      <c r="D2" s="462"/>
      <c r="E2" s="461"/>
      <c r="F2" s="461"/>
      <c r="G2" s="461"/>
      <c r="H2" s="462"/>
      <c r="I2" s="462"/>
      <c r="J2" s="462"/>
      <c r="K2" s="462"/>
      <c r="L2" s="462"/>
      <c r="M2" s="462"/>
      <c r="N2" s="463"/>
      <c r="O2" s="464"/>
      <c r="P2" s="464"/>
      <c r="Q2" s="464"/>
      <c r="R2" s="465" t="s">
        <v>609</v>
      </c>
      <c r="S2" s="466" t="s">
        <v>609</v>
      </c>
      <c r="T2" s="466"/>
      <c r="U2" s="466"/>
      <c r="V2" s="463"/>
      <c r="W2" s="467"/>
      <c r="X2" s="468"/>
    </row>
    <row r="3" spans="1:24" s="212" customFormat="1" x14ac:dyDescent="0.15">
      <c r="A3" s="469"/>
      <c r="B3" s="470" t="s">
        <v>610</v>
      </c>
      <c r="C3" s="470"/>
      <c r="D3" s="471"/>
      <c r="E3" s="470"/>
      <c r="F3" s="470"/>
      <c r="G3" s="470"/>
      <c r="H3" s="471"/>
      <c r="I3" s="471"/>
      <c r="J3" s="471"/>
      <c r="K3" s="471"/>
      <c r="L3" s="471"/>
      <c r="M3" s="471"/>
      <c r="N3" s="472"/>
      <c r="O3" s="473"/>
      <c r="P3" s="473"/>
      <c r="Q3" s="473"/>
      <c r="R3" s="474" t="s">
        <v>609</v>
      </c>
      <c r="S3" s="475" t="s">
        <v>609</v>
      </c>
      <c r="T3" s="475"/>
      <c r="U3" s="475"/>
      <c r="V3" s="476"/>
      <c r="W3" s="477"/>
      <c r="X3" s="468"/>
    </row>
    <row r="4" spans="1:24" s="212" customFormat="1" x14ac:dyDescent="0.15">
      <c r="A4" s="469"/>
      <c r="B4" s="470" t="s">
        <v>611</v>
      </c>
      <c r="C4" s="470"/>
      <c r="D4" s="471"/>
      <c r="E4" s="470"/>
      <c r="F4" s="470"/>
      <c r="G4" s="470"/>
      <c r="H4" s="471"/>
      <c r="I4" s="471"/>
      <c r="J4" s="471"/>
      <c r="K4" s="471"/>
      <c r="L4" s="471"/>
      <c r="M4" s="471"/>
      <c r="N4" s="472"/>
      <c r="O4" s="473"/>
      <c r="P4" s="473"/>
      <c r="Q4" s="473"/>
      <c r="R4" s="478" t="s">
        <v>609</v>
      </c>
      <c r="S4" s="475" t="s">
        <v>609</v>
      </c>
      <c r="T4" s="475"/>
      <c r="U4" s="475"/>
      <c r="V4" s="476"/>
      <c r="W4" s="477"/>
      <c r="X4" s="468"/>
    </row>
    <row r="5" spans="1:24" s="212" customFormat="1" ht="18" x14ac:dyDescent="0.15">
      <c r="A5" s="469"/>
      <c r="B5" s="457" t="s">
        <v>612</v>
      </c>
      <c r="C5" s="479"/>
      <c r="D5" s="479"/>
      <c r="E5" s="479"/>
      <c r="F5" s="479"/>
      <c r="G5" s="479"/>
      <c r="H5" s="479"/>
      <c r="I5" s="479"/>
      <c r="J5" s="479"/>
      <c r="K5" s="479"/>
      <c r="L5" s="479"/>
      <c r="M5" s="479"/>
      <c r="N5" s="480"/>
      <c r="O5" s="481"/>
      <c r="P5" s="481"/>
      <c r="Q5" s="481"/>
      <c r="R5" s="481"/>
      <c r="S5" s="476"/>
      <c r="T5" s="476"/>
      <c r="U5" s="476"/>
      <c r="V5" s="476"/>
      <c r="W5" s="477"/>
      <c r="X5" s="468"/>
    </row>
    <row r="6" spans="1:24" ht="18" x14ac:dyDescent="0.15">
      <c r="A6" s="469"/>
      <c r="B6" s="457" t="s">
        <v>613</v>
      </c>
      <c r="C6" s="479"/>
      <c r="D6" s="479"/>
      <c r="E6" s="479"/>
      <c r="F6" s="479"/>
      <c r="G6" s="479"/>
      <c r="H6" s="479"/>
      <c r="I6" s="479"/>
      <c r="J6" s="479"/>
      <c r="K6" s="479"/>
      <c r="L6" s="479"/>
      <c r="M6" s="479"/>
      <c r="N6" s="480"/>
      <c r="O6" s="481"/>
      <c r="P6" s="481"/>
      <c r="Q6" s="481"/>
      <c r="R6" s="481"/>
      <c r="S6" s="475" t="s">
        <v>609</v>
      </c>
      <c r="T6" s="475"/>
      <c r="U6" s="475"/>
      <c r="V6" s="476"/>
      <c r="W6" s="477"/>
      <c r="X6" s="468"/>
    </row>
    <row r="7" spans="1:24" ht="23" x14ac:dyDescent="0.15">
      <c r="A7" s="469"/>
      <c r="B7" s="482" t="s">
        <v>1328</v>
      </c>
      <c r="C7" s="479"/>
      <c r="D7" s="479"/>
      <c r="E7" s="479"/>
      <c r="F7" s="479"/>
      <c r="G7" s="479"/>
      <c r="H7" s="479"/>
      <c r="I7" s="479"/>
      <c r="J7" s="479"/>
      <c r="K7" s="479"/>
      <c r="L7" s="479"/>
      <c r="M7" s="479"/>
      <c r="N7" s="483"/>
      <c r="O7" s="484"/>
      <c r="P7" s="484"/>
      <c r="Q7" s="484"/>
      <c r="R7" s="484"/>
      <c r="S7" s="476"/>
      <c r="T7" s="476"/>
      <c r="U7" s="476"/>
      <c r="V7" s="476"/>
      <c r="W7" s="477"/>
      <c r="X7" s="18"/>
    </row>
    <row r="8" spans="1:24" ht="24" thickBot="1" x14ac:dyDescent="0.2">
      <c r="A8" s="469"/>
      <c r="B8" s="485" t="s">
        <v>614</v>
      </c>
      <c r="C8" s="485"/>
      <c r="D8" s="485"/>
      <c r="E8" s="485"/>
      <c r="F8" s="485"/>
      <c r="G8" s="485"/>
      <c r="H8" s="485"/>
      <c r="I8" s="485"/>
      <c r="J8" s="485"/>
      <c r="K8" s="485"/>
      <c r="L8" s="485"/>
      <c r="M8" s="485"/>
      <c r="N8" s="486"/>
      <c r="O8" s="487"/>
      <c r="P8" s="487"/>
      <c r="Q8" s="487"/>
      <c r="R8" s="487"/>
      <c r="S8" s="488"/>
      <c r="T8" s="488"/>
      <c r="U8" s="488"/>
      <c r="V8" s="488"/>
      <c r="W8" s="489"/>
      <c r="X8" s="18"/>
    </row>
    <row r="9" spans="1:24" ht="17" thickBot="1" x14ac:dyDescent="0.25">
      <c r="A9" s="490"/>
      <c r="B9" s="491"/>
      <c r="C9" s="492" t="s">
        <v>615</v>
      </c>
      <c r="D9" s="493" t="s">
        <v>616</v>
      </c>
      <c r="E9" s="494"/>
      <c r="F9" s="495"/>
      <c r="G9" s="495"/>
      <c r="H9" s="496"/>
      <c r="I9" s="496"/>
      <c r="J9" s="496"/>
      <c r="K9" s="496"/>
      <c r="L9" s="496"/>
      <c r="M9" s="496"/>
      <c r="N9" s="496"/>
      <c r="O9" s="496"/>
      <c r="P9" s="496"/>
      <c r="Q9" s="496"/>
      <c r="R9" s="496"/>
      <c r="S9" s="496"/>
      <c r="T9" s="496"/>
      <c r="U9" s="496"/>
      <c r="V9" s="496"/>
      <c r="W9" s="496"/>
      <c r="X9" s="18"/>
    </row>
    <row r="10" spans="1:24" x14ac:dyDescent="0.15">
      <c r="A10" s="497"/>
      <c r="B10" s="498"/>
      <c r="C10" s="499" t="s">
        <v>430</v>
      </c>
      <c r="D10" s="499" t="s">
        <v>617</v>
      </c>
      <c r="E10" s="500"/>
      <c r="F10" s="501"/>
      <c r="G10" s="501"/>
      <c r="H10" s="496"/>
      <c r="I10" s="496"/>
      <c r="J10" s="496"/>
      <c r="K10" s="496"/>
      <c r="L10" s="496"/>
      <c r="M10" s="496"/>
      <c r="N10" s="496"/>
      <c r="O10" s="496"/>
      <c r="P10" s="496"/>
      <c r="Q10" s="496"/>
      <c r="R10" s="496"/>
      <c r="S10" s="496"/>
      <c r="T10" s="496"/>
      <c r="U10" s="496"/>
      <c r="V10" s="496"/>
      <c r="W10" s="502" t="s">
        <v>618</v>
      </c>
      <c r="X10" s="18"/>
    </row>
    <row r="11" spans="1:24" ht="14" thickBot="1" x14ac:dyDescent="0.2">
      <c r="A11" s="503" t="s">
        <v>619</v>
      </c>
      <c r="B11" s="504"/>
      <c r="C11" s="505" t="s">
        <v>616</v>
      </c>
      <c r="D11" s="506" t="s">
        <v>620</v>
      </c>
      <c r="E11" s="507" t="s">
        <v>621</v>
      </c>
      <c r="F11" s="508"/>
      <c r="G11" s="509" t="s">
        <v>622</v>
      </c>
      <c r="H11" s="509" t="s">
        <v>623</v>
      </c>
      <c r="I11" s="509" t="s">
        <v>624</v>
      </c>
      <c r="J11" s="509" t="s">
        <v>625</v>
      </c>
      <c r="K11" s="509" t="s">
        <v>626</v>
      </c>
      <c r="L11" s="509" t="s">
        <v>627</v>
      </c>
      <c r="M11" s="509" t="s">
        <v>628</v>
      </c>
      <c r="N11" s="509" t="s">
        <v>629</v>
      </c>
      <c r="O11" s="510" t="s">
        <v>630</v>
      </c>
      <c r="P11" s="509" t="s">
        <v>631</v>
      </c>
      <c r="Q11" s="509" t="s">
        <v>632</v>
      </c>
      <c r="R11" s="510" t="s">
        <v>633</v>
      </c>
      <c r="S11" s="509" t="s">
        <v>634</v>
      </c>
      <c r="T11" s="509" t="s">
        <v>635</v>
      </c>
      <c r="U11" s="509" t="s">
        <v>636</v>
      </c>
      <c r="V11" s="509" t="s">
        <v>637</v>
      </c>
      <c r="W11" s="511" t="s">
        <v>638</v>
      </c>
      <c r="X11" s="18"/>
    </row>
    <row r="12" spans="1:24" ht="15" thickTop="1" thickBot="1" x14ac:dyDescent="0.2">
      <c r="A12" s="512"/>
      <c r="B12" s="513"/>
      <c r="C12" s="514"/>
      <c r="D12" s="514"/>
      <c r="E12" s="515"/>
      <c r="F12" s="515"/>
      <c r="G12" s="516"/>
      <c r="H12" s="516"/>
      <c r="I12" s="516"/>
      <c r="J12" s="516"/>
      <c r="K12" s="516"/>
      <c r="L12" s="516"/>
      <c r="M12" s="516"/>
      <c r="N12" s="516"/>
      <c r="O12" s="516"/>
      <c r="P12" s="516"/>
      <c r="Q12" s="516"/>
      <c r="R12" s="516"/>
      <c r="S12" s="516"/>
      <c r="T12" s="516"/>
      <c r="U12" s="516"/>
      <c r="V12" s="516"/>
      <c r="W12" s="517"/>
      <c r="X12" s="18"/>
    </row>
    <row r="13" spans="1:24" ht="14" thickTop="1" x14ac:dyDescent="0.15">
      <c r="A13" s="518" t="s">
        <v>639</v>
      </c>
      <c r="B13" s="519"/>
      <c r="C13" s="520" t="s">
        <v>640</v>
      </c>
      <c r="D13" s="520" t="s">
        <v>640</v>
      </c>
      <c r="E13" s="521">
        <v>4.7E-2</v>
      </c>
      <c r="F13" s="522" t="s">
        <v>641</v>
      </c>
      <c r="G13" s="523">
        <v>0.01</v>
      </c>
      <c r="H13" s="523"/>
      <c r="I13" s="523"/>
      <c r="J13" s="523"/>
      <c r="K13" s="523"/>
      <c r="L13" s="523"/>
      <c r="M13" s="523"/>
      <c r="N13" s="523"/>
      <c r="O13" s="523"/>
      <c r="P13" s="523"/>
      <c r="Q13" s="523"/>
      <c r="R13" s="523">
        <v>2.5000000000000001E-3</v>
      </c>
      <c r="S13" s="523"/>
      <c r="T13" s="523"/>
      <c r="U13" s="523"/>
      <c r="V13" s="523"/>
      <c r="W13" s="524">
        <v>5.9500000000000004E-2</v>
      </c>
      <c r="X13" s="18"/>
    </row>
    <row r="14" spans="1:24" x14ac:dyDescent="0.15">
      <c r="A14" s="436" t="s">
        <v>642</v>
      </c>
      <c r="B14" s="434"/>
      <c r="C14" s="432" t="s">
        <v>643</v>
      </c>
      <c r="D14" s="432" t="s">
        <v>643</v>
      </c>
      <c r="E14" s="431">
        <v>4.7E-2</v>
      </c>
      <c r="F14" s="430" t="s">
        <v>641</v>
      </c>
      <c r="G14" s="435">
        <v>0.01</v>
      </c>
      <c r="H14" s="435"/>
      <c r="I14" s="435"/>
      <c r="J14" s="435"/>
      <c r="K14" s="435"/>
      <c r="L14" s="435"/>
      <c r="M14" s="435"/>
      <c r="N14" s="435">
        <v>0.01</v>
      </c>
      <c r="O14" s="435"/>
      <c r="P14" s="435"/>
      <c r="Q14" s="435"/>
      <c r="R14" s="435">
        <v>2.5000000000000001E-3</v>
      </c>
      <c r="S14" s="435"/>
      <c r="T14" s="435"/>
      <c r="U14" s="435"/>
      <c r="V14" s="435"/>
      <c r="W14" s="433">
        <v>6.9500000000000006E-2</v>
      </c>
      <c r="X14" s="18"/>
    </row>
    <row r="15" spans="1:24" x14ac:dyDescent="0.15">
      <c r="A15" s="436" t="s">
        <v>644</v>
      </c>
      <c r="B15" s="434"/>
      <c r="C15" s="432" t="s">
        <v>645</v>
      </c>
      <c r="D15" s="432" t="s">
        <v>640</v>
      </c>
      <c r="E15" s="431">
        <v>4.7E-2</v>
      </c>
      <c r="F15" s="430" t="s">
        <v>641</v>
      </c>
      <c r="G15" s="435">
        <v>0.01</v>
      </c>
      <c r="H15" s="435"/>
      <c r="I15" s="435"/>
      <c r="J15" s="435"/>
      <c r="K15" s="435"/>
      <c r="L15" s="435"/>
      <c r="M15" s="435"/>
      <c r="N15" s="435"/>
      <c r="O15" s="435"/>
      <c r="P15" s="435"/>
      <c r="Q15" s="435"/>
      <c r="R15" s="435">
        <v>2.5000000000000001E-3</v>
      </c>
      <c r="S15" s="435"/>
      <c r="T15" s="435"/>
      <c r="U15" s="435"/>
      <c r="V15" s="435"/>
      <c r="W15" s="433">
        <v>5.9500000000000004E-2</v>
      </c>
      <c r="X15" s="18"/>
    </row>
    <row r="16" spans="1:24" x14ac:dyDescent="0.15">
      <c r="A16" s="436" t="s">
        <v>646</v>
      </c>
      <c r="B16" s="434"/>
      <c r="C16" s="432" t="s">
        <v>647</v>
      </c>
      <c r="D16" s="432" t="s">
        <v>640</v>
      </c>
      <c r="E16" s="431">
        <v>4.7E-2</v>
      </c>
      <c r="F16" s="430" t="s">
        <v>641</v>
      </c>
      <c r="G16" s="435">
        <v>0.01</v>
      </c>
      <c r="H16" s="435"/>
      <c r="I16" s="435"/>
      <c r="J16" s="435"/>
      <c r="K16" s="435"/>
      <c r="L16" s="435"/>
      <c r="M16" s="435"/>
      <c r="N16" s="435"/>
      <c r="O16" s="435"/>
      <c r="P16" s="435"/>
      <c r="Q16" s="435"/>
      <c r="R16" s="435">
        <v>2.5000000000000001E-3</v>
      </c>
      <c r="S16" s="435"/>
      <c r="T16" s="435"/>
      <c r="U16" s="435"/>
      <c r="V16" s="435"/>
      <c r="W16" s="433">
        <v>5.9500000000000004E-2</v>
      </c>
      <c r="X16" s="18"/>
    </row>
    <row r="17" spans="1:24" x14ac:dyDescent="0.15">
      <c r="A17" s="525"/>
      <c r="B17" s="526"/>
      <c r="C17" s="526"/>
      <c r="D17" s="526"/>
      <c r="E17" s="527"/>
      <c r="F17" s="527" t="s">
        <v>609</v>
      </c>
      <c r="G17" s="527"/>
      <c r="H17" s="527"/>
      <c r="I17" s="527"/>
      <c r="J17" s="527"/>
      <c r="K17" s="527"/>
      <c r="L17" s="527"/>
      <c r="M17" s="527"/>
      <c r="N17" s="527"/>
      <c r="O17" s="527"/>
      <c r="P17" s="527"/>
      <c r="Q17" s="527"/>
      <c r="R17" s="527"/>
      <c r="S17" s="527"/>
      <c r="T17" s="527"/>
      <c r="U17" s="527"/>
      <c r="V17" s="527"/>
      <c r="W17" s="527"/>
      <c r="X17" s="18"/>
    </row>
    <row r="18" spans="1:24" x14ac:dyDescent="0.15">
      <c r="A18" s="436" t="s">
        <v>648</v>
      </c>
      <c r="B18" s="434"/>
      <c r="C18" s="432" t="s">
        <v>649</v>
      </c>
      <c r="D18" s="432" t="s">
        <v>649</v>
      </c>
      <c r="E18" s="431">
        <v>4.7E-2</v>
      </c>
      <c r="F18" s="430" t="s">
        <v>641</v>
      </c>
      <c r="G18" s="435">
        <v>0.01</v>
      </c>
      <c r="H18" s="435"/>
      <c r="I18" s="435"/>
      <c r="J18" s="435"/>
      <c r="K18" s="435"/>
      <c r="L18" s="435"/>
      <c r="M18" s="435"/>
      <c r="N18" s="435"/>
      <c r="O18" s="435"/>
      <c r="P18" s="435"/>
      <c r="Q18" s="435"/>
      <c r="R18" s="435">
        <v>2.5000000000000001E-3</v>
      </c>
      <c r="S18" s="435"/>
      <c r="T18" s="435"/>
      <c r="U18" s="435"/>
      <c r="V18" s="435"/>
      <c r="W18" s="433">
        <v>5.9500000000000004E-2</v>
      </c>
      <c r="X18" s="18"/>
    </row>
    <row r="19" spans="1:24" x14ac:dyDescent="0.15">
      <c r="A19" s="436" t="s">
        <v>650</v>
      </c>
      <c r="B19" s="434"/>
      <c r="C19" s="432" t="s">
        <v>651</v>
      </c>
      <c r="D19" s="432" t="s">
        <v>649</v>
      </c>
      <c r="E19" s="431">
        <v>4.7E-2</v>
      </c>
      <c r="F19" s="430" t="s">
        <v>641</v>
      </c>
      <c r="G19" s="435">
        <v>0.01</v>
      </c>
      <c r="H19" s="435"/>
      <c r="I19" s="435"/>
      <c r="J19" s="435"/>
      <c r="K19" s="435"/>
      <c r="L19" s="435"/>
      <c r="M19" s="435"/>
      <c r="N19" s="435"/>
      <c r="O19" s="435"/>
      <c r="P19" s="435"/>
      <c r="Q19" s="435"/>
      <c r="R19" s="435">
        <v>2.5000000000000001E-3</v>
      </c>
      <c r="S19" s="435"/>
      <c r="T19" s="435"/>
      <c r="U19" s="435"/>
      <c r="V19" s="435"/>
      <c r="W19" s="433">
        <v>5.9500000000000004E-2</v>
      </c>
      <c r="X19" s="18"/>
    </row>
    <row r="20" spans="1:24" x14ac:dyDescent="0.15">
      <c r="A20" s="436" t="s">
        <v>652</v>
      </c>
      <c r="B20" s="434"/>
      <c r="C20" s="432" t="s">
        <v>653</v>
      </c>
      <c r="D20" s="432" t="s">
        <v>653</v>
      </c>
      <c r="E20" s="431">
        <v>4.7E-2</v>
      </c>
      <c r="F20" s="430" t="s">
        <v>641</v>
      </c>
      <c r="G20" s="435">
        <v>0.01</v>
      </c>
      <c r="H20" s="435">
        <v>3.0000000000000001E-3</v>
      </c>
      <c r="I20" s="435">
        <v>2.5000000000000001E-3</v>
      </c>
      <c r="J20" s="435"/>
      <c r="K20" s="435"/>
      <c r="L20" s="435"/>
      <c r="M20" s="435"/>
      <c r="N20" s="435"/>
      <c r="O20" s="435"/>
      <c r="P20" s="435"/>
      <c r="Q20" s="435"/>
      <c r="R20" s="435">
        <v>2.5000000000000001E-3</v>
      </c>
      <c r="S20" s="435"/>
      <c r="T20" s="435"/>
      <c r="U20" s="435"/>
      <c r="V20" s="435"/>
      <c r="W20" s="433">
        <v>6.5000000000000002E-2</v>
      </c>
      <c r="X20" s="18"/>
    </row>
    <row r="21" spans="1:24" x14ac:dyDescent="0.15">
      <c r="A21" s="436" t="s">
        <v>654</v>
      </c>
      <c r="B21" s="434"/>
      <c r="C21" s="432" t="s">
        <v>655</v>
      </c>
      <c r="D21" s="432" t="s">
        <v>649</v>
      </c>
      <c r="E21" s="431">
        <v>4.7E-2</v>
      </c>
      <c r="F21" s="430" t="s">
        <v>641</v>
      </c>
      <c r="G21" s="435">
        <v>0.01</v>
      </c>
      <c r="H21" s="435"/>
      <c r="I21" s="435"/>
      <c r="J21" s="435"/>
      <c r="K21" s="435"/>
      <c r="L21" s="435"/>
      <c r="M21" s="435"/>
      <c r="N21" s="435"/>
      <c r="O21" s="435"/>
      <c r="P21" s="435"/>
      <c r="Q21" s="435"/>
      <c r="R21" s="435">
        <v>2.5000000000000001E-3</v>
      </c>
      <c r="S21" s="435"/>
      <c r="T21" s="435"/>
      <c r="U21" s="435"/>
      <c r="V21" s="435"/>
      <c r="W21" s="433">
        <v>5.9500000000000004E-2</v>
      </c>
      <c r="X21" s="18"/>
    </row>
    <row r="22" spans="1:24" x14ac:dyDescent="0.15">
      <c r="A22" s="436" t="s">
        <v>656</v>
      </c>
      <c r="B22" s="434"/>
      <c r="C22" s="432" t="s">
        <v>657</v>
      </c>
      <c r="D22" s="432" t="s">
        <v>649</v>
      </c>
      <c r="E22" s="431">
        <v>4.7E-2</v>
      </c>
      <c r="F22" s="430" t="s">
        <v>641</v>
      </c>
      <c r="G22" s="435">
        <v>0.01</v>
      </c>
      <c r="H22" s="435"/>
      <c r="I22" s="435"/>
      <c r="J22" s="435"/>
      <c r="K22" s="435"/>
      <c r="L22" s="435"/>
      <c r="M22" s="435"/>
      <c r="N22" s="435"/>
      <c r="O22" s="435"/>
      <c r="P22" s="435"/>
      <c r="Q22" s="435"/>
      <c r="R22" s="435">
        <v>2.5000000000000001E-3</v>
      </c>
      <c r="S22" s="435"/>
      <c r="T22" s="435"/>
      <c r="U22" s="435"/>
      <c r="V22" s="435"/>
      <c r="W22" s="433">
        <v>5.9500000000000004E-2</v>
      </c>
      <c r="X22" s="18"/>
    </row>
    <row r="23" spans="1:24" x14ac:dyDescent="0.15">
      <c r="A23" s="436" t="s">
        <v>658</v>
      </c>
      <c r="B23" s="434"/>
      <c r="C23" s="432" t="s">
        <v>659</v>
      </c>
      <c r="D23" s="432" t="s">
        <v>649</v>
      </c>
      <c r="E23" s="431">
        <v>4.7E-2</v>
      </c>
      <c r="F23" s="430" t="s">
        <v>641</v>
      </c>
      <c r="G23" s="435">
        <v>0.01</v>
      </c>
      <c r="H23" s="435"/>
      <c r="I23" s="435"/>
      <c r="J23" s="435"/>
      <c r="K23" s="435"/>
      <c r="L23" s="435"/>
      <c r="M23" s="435"/>
      <c r="N23" s="435"/>
      <c r="O23" s="435"/>
      <c r="P23" s="435"/>
      <c r="Q23" s="435"/>
      <c r="R23" s="435">
        <v>2.5000000000000001E-3</v>
      </c>
      <c r="S23" s="435"/>
      <c r="T23" s="435"/>
      <c r="U23" s="435"/>
      <c r="V23" s="435"/>
      <c r="W23" s="433">
        <v>5.9500000000000004E-2</v>
      </c>
      <c r="X23" s="18"/>
    </row>
    <row r="24" spans="1:24" x14ac:dyDescent="0.15">
      <c r="A24" s="436" t="s">
        <v>660</v>
      </c>
      <c r="B24" s="434"/>
      <c r="C24" s="432" t="s">
        <v>661</v>
      </c>
      <c r="D24" s="432" t="s">
        <v>649</v>
      </c>
      <c r="E24" s="431">
        <v>4.7E-2</v>
      </c>
      <c r="F24" s="430" t="s">
        <v>641</v>
      </c>
      <c r="G24" s="435">
        <v>0.01</v>
      </c>
      <c r="H24" s="435"/>
      <c r="I24" s="435"/>
      <c r="J24" s="435"/>
      <c r="K24" s="435"/>
      <c r="L24" s="435"/>
      <c r="M24" s="435"/>
      <c r="N24" s="435"/>
      <c r="O24" s="435"/>
      <c r="P24" s="435"/>
      <c r="Q24" s="435"/>
      <c r="R24" s="435">
        <v>2.5000000000000001E-3</v>
      </c>
      <c r="S24" s="435"/>
      <c r="T24" s="435"/>
      <c r="U24" s="435"/>
      <c r="V24" s="435"/>
      <c r="W24" s="433">
        <v>5.9500000000000004E-2</v>
      </c>
      <c r="X24" s="18"/>
    </row>
    <row r="25" spans="1:24" x14ac:dyDescent="0.15">
      <c r="A25" s="436" t="s">
        <v>662</v>
      </c>
      <c r="B25" s="434"/>
      <c r="C25" s="432" t="s">
        <v>663</v>
      </c>
      <c r="D25" s="432" t="s">
        <v>649</v>
      </c>
      <c r="E25" s="431">
        <v>4.7E-2</v>
      </c>
      <c r="F25" s="430" t="s">
        <v>641</v>
      </c>
      <c r="G25" s="435">
        <v>0.01</v>
      </c>
      <c r="H25" s="435"/>
      <c r="I25" s="435"/>
      <c r="J25" s="435"/>
      <c r="K25" s="435"/>
      <c r="L25" s="435"/>
      <c r="M25" s="435"/>
      <c r="N25" s="435"/>
      <c r="O25" s="435"/>
      <c r="P25" s="435"/>
      <c r="Q25" s="435"/>
      <c r="R25" s="435">
        <v>2.5000000000000001E-3</v>
      </c>
      <c r="S25" s="435"/>
      <c r="T25" s="435"/>
      <c r="U25" s="435"/>
      <c r="V25" s="435"/>
      <c r="W25" s="433">
        <v>5.9500000000000004E-2</v>
      </c>
      <c r="X25" s="18"/>
    </row>
    <row r="26" spans="1:24" x14ac:dyDescent="0.15">
      <c r="A26" s="436" t="s">
        <v>664</v>
      </c>
      <c r="B26" s="434"/>
      <c r="C26" s="432" t="s">
        <v>665</v>
      </c>
      <c r="D26" s="432" t="s">
        <v>649</v>
      </c>
      <c r="E26" s="431">
        <v>4.7E-2</v>
      </c>
      <c r="F26" s="430" t="s">
        <v>641</v>
      </c>
      <c r="G26" s="435">
        <v>0.01</v>
      </c>
      <c r="H26" s="435"/>
      <c r="I26" s="435"/>
      <c r="J26" s="435"/>
      <c r="K26" s="435"/>
      <c r="L26" s="435"/>
      <c r="M26" s="435"/>
      <c r="N26" s="435"/>
      <c r="O26" s="435"/>
      <c r="P26" s="435"/>
      <c r="Q26" s="435"/>
      <c r="R26" s="435">
        <v>2.5000000000000001E-3</v>
      </c>
      <c r="S26" s="435"/>
      <c r="T26" s="435"/>
      <c r="U26" s="435"/>
      <c r="V26" s="435"/>
      <c r="W26" s="433">
        <v>5.9500000000000004E-2</v>
      </c>
      <c r="X26" s="18"/>
    </row>
    <row r="27" spans="1:24" x14ac:dyDescent="0.15">
      <c r="A27" s="436" t="s">
        <v>666</v>
      </c>
      <c r="B27" s="434"/>
      <c r="C27" s="432" t="s">
        <v>667</v>
      </c>
      <c r="D27" s="432" t="s">
        <v>649</v>
      </c>
      <c r="E27" s="431">
        <v>4.7E-2</v>
      </c>
      <c r="F27" s="430" t="s">
        <v>641</v>
      </c>
      <c r="G27" s="435">
        <v>0.01</v>
      </c>
      <c r="H27" s="435"/>
      <c r="I27" s="435"/>
      <c r="J27" s="435"/>
      <c r="K27" s="435"/>
      <c r="L27" s="435"/>
      <c r="M27" s="435"/>
      <c r="N27" s="435"/>
      <c r="O27" s="435"/>
      <c r="P27" s="435"/>
      <c r="Q27" s="435"/>
      <c r="R27" s="435">
        <v>2.5000000000000001E-3</v>
      </c>
      <c r="S27" s="435"/>
      <c r="T27" s="435"/>
      <c r="U27" s="435"/>
      <c r="V27" s="435"/>
      <c r="W27" s="433">
        <v>5.9500000000000004E-2</v>
      </c>
      <c r="X27" s="18"/>
    </row>
    <row r="28" spans="1:24" x14ac:dyDescent="0.15">
      <c r="A28" s="436" t="s">
        <v>668</v>
      </c>
      <c r="B28" s="434"/>
      <c r="C28" s="432" t="s">
        <v>669</v>
      </c>
      <c r="D28" s="432" t="s">
        <v>649</v>
      </c>
      <c r="E28" s="431">
        <v>4.7E-2</v>
      </c>
      <c r="F28" s="430" t="s">
        <v>641</v>
      </c>
      <c r="G28" s="435">
        <v>0.01</v>
      </c>
      <c r="H28" s="435"/>
      <c r="I28" s="435"/>
      <c r="J28" s="435"/>
      <c r="K28" s="435"/>
      <c r="L28" s="435"/>
      <c r="M28" s="435"/>
      <c r="N28" s="435"/>
      <c r="O28" s="435"/>
      <c r="P28" s="435"/>
      <c r="Q28" s="435"/>
      <c r="R28" s="435">
        <v>2.5000000000000001E-3</v>
      </c>
      <c r="S28" s="435"/>
      <c r="T28" s="435"/>
      <c r="U28" s="435"/>
      <c r="V28" s="435"/>
      <c r="W28" s="433">
        <v>5.9500000000000004E-2</v>
      </c>
      <c r="X28" s="18"/>
    </row>
    <row r="29" spans="1:24" x14ac:dyDescent="0.15">
      <c r="A29" s="436" t="s">
        <v>670</v>
      </c>
      <c r="B29" s="434"/>
      <c r="C29" s="432" t="s">
        <v>671</v>
      </c>
      <c r="D29" s="432" t="s">
        <v>671</v>
      </c>
      <c r="E29" s="431">
        <v>4.7E-2</v>
      </c>
      <c r="F29" s="430" t="s">
        <v>641</v>
      </c>
      <c r="G29" s="435">
        <v>0.01</v>
      </c>
      <c r="H29" s="435">
        <v>3.0000000000000001E-3</v>
      </c>
      <c r="I29" s="435">
        <v>2.5000000000000001E-3</v>
      </c>
      <c r="J29" s="435"/>
      <c r="K29" s="435"/>
      <c r="L29" s="435"/>
      <c r="M29" s="435"/>
      <c r="N29" s="435"/>
      <c r="O29" s="435"/>
      <c r="P29" s="435"/>
      <c r="Q29" s="435"/>
      <c r="R29" s="435">
        <v>2.5000000000000001E-3</v>
      </c>
      <c r="S29" s="435"/>
      <c r="T29" s="435"/>
      <c r="U29" s="435"/>
      <c r="V29" s="435"/>
      <c r="W29" s="433">
        <v>6.5000000000000002E-2</v>
      </c>
      <c r="X29" s="18"/>
    </row>
    <row r="30" spans="1:24" x14ac:dyDescent="0.15">
      <c r="A30" s="436" t="s">
        <v>672</v>
      </c>
      <c r="B30" s="434"/>
      <c r="C30" s="432" t="s">
        <v>673</v>
      </c>
      <c r="D30" s="432" t="s">
        <v>649</v>
      </c>
      <c r="E30" s="431">
        <v>4.7E-2</v>
      </c>
      <c r="F30" s="430" t="s">
        <v>641</v>
      </c>
      <c r="G30" s="435">
        <v>0.01</v>
      </c>
      <c r="H30" s="435"/>
      <c r="I30" s="435"/>
      <c r="J30" s="435"/>
      <c r="K30" s="435"/>
      <c r="L30" s="435"/>
      <c r="M30" s="435"/>
      <c r="N30" s="435"/>
      <c r="O30" s="435"/>
      <c r="P30" s="435"/>
      <c r="Q30" s="435"/>
      <c r="R30" s="435">
        <v>2.5000000000000001E-3</v>
      </c>
      <c r="S30" s="435"/>
      <c r="T30" s="435"/>
      <c r="U30" s="435"/>
      <c r="V30" s="435"/>
      <c r="W30" s="433">
        <v>5.9500000000000004E-2</v>
      </c>
      <c r="X30" s="18"/>
    </row>
    <row r="31" spans="1:24" x14ac:dyDescent="0.15">
      <c r="A31" s="436" t="s">
        <v>674</v>
      </c>
      <c r="B31" s="434"/>
      <c r="C31" s="432" t="s">
        <v>675</v>
      </c>
      <c r="D31" s="432" t="s">
        <v>649</v>
      </c>
      <c r="E31" s="431">
        <v>4.7E-2</v>
      </c>
      <c r="F31" s="430" t="s">
        <v>641</v>
      </c>
      <c r="G31" s="435">
        <v>0.01</v>
      </c>
      <c r="H31" s="435"/>
      <c r="I31" s="435"/>
      <c r="J31" s="435"/>
      <c r="K31" s="435"/>
      <c r="L31" s="435"/>
      <c r="M31" s="435"/>
      <c r="N31" s="435"/>
      <c r="O31" s="435"/>
      <c r="P31" s="435"/>
      <c r="Q31" s="435"/>
      <c r="R31" s="435">
        <v>2.5000000000000001E-3</v>
      </c>
      <c r="S31" s="435"/>
      <c r="T31" s="435"/>
      <c r="U31" s="435"/>
      <c r="V31" s="435"/>
      <c r="W31" s="433">
        <v>5.9500000000000004E-2</v>
      </c>
      <c r="X31" s="18"/>
    </row>
    <row r="32" spans="1:24" x14ac:dyDescent="0.15">
      <c r="A32" s="436" t="s">
        <v>676</v>
      </c>
      <c r="B32" s="434"/>
      <c r="C32" s="432" t="s">
        <v>677</v>
      </c>
      <c r="D32" s="432" t="s">
        <v>677</v>
      </c>
      <c r="E32" s="431">
        <v>4.7E-2</v>
      </c>
      <c r="F32" s="430" t="s">
        <v>641</v>
      </c>
      <c r="G32" s="435">
        <v>0.01</v>
      </c>
      <c r="H32" s="435"/>
      <c r="I32" s="435"/>
      <c r="J32" s="435"/>
      <c r="K32" s="435"/>
      <c r="L32" s="435"/>
      <c r="M32" s="435"/>
      <c r="N32" s="435"/>
      <c r="O32" s="435"/>
      <c r="P32" s="435"/>
      <c r="Q32" s="435"/>
      <c r="R32" s="435">
        <v>2.5000000000000001E-3</v>
      </c>
      <c r="S32" s="435">
        <v>0.01</v>
      </c>
      <c r="T32" s="435"/>
      <c r="U32" s="435"/>
      <c r="V32" s="435"/>
      <c r="W32" s="433">
        <v>6.9500000000000006E-2</v>
      </c>
      <c r="X32" s="18"/>
    </row>
    <row r="33" spans="1:24" x14ac:dyDescent="0.15">
      <c r="A33" s="436" t="s">
        <v>678</v>
      </c>
      <c r="B33" s="434"/>
      <c r="C33" s="432" t="s">
        <v>679</v>
      </c>
      <c r="D33" s="432" t="s">
        <v>649</v>
      </c>
      <c r="E33" s="431">
        <v>4.7E-2</v>
      </c>
      <c r="F33" s="430" t="s">
        <v>641</v>
      </c>
      <c r="G33" s="435">
        <v>0.01</v>
      </c>
      <c r="H33" s="435"/>
      <c r="I33" s="435"/>
      <c r="J33" s="435"/>
      <c r="K33" s="435"/>
      <c r="L33" s="435"/>
      <c r="M33" s="435"/>
      <c r="N33" s="435"/>
      <c r="O33" s="435"/>
      <c r="P33" s="435"/>
      <c r="Q33" s="435"/>
      <c r="R33" s="435">
        <v>2.5000000000000001E-3</v>
      </c>
      <c r="S33" s="435"/>
      <c r="T33" s="435"/>
      <c r="U33" s="435"/>
      <c r="V33" s="435"/>
      <c r="W33" s="433">
        <v>5.9500000000000004E-2</v>
      </c>
      <c r="X33" s="18"/>
    </row>
    <row r="34" spans="1:24" x14ac:dyDescent="0.15">
      <c r="A34" s="436" t="s">
        <v>680</v>
      </c>
      <c r="B34" s="434"/>
      <c r="C34" s="432" t="s">
        <v>681</v>
      </c>
      <c r="D34" s="432" t="s">
        <v>681</v>
      </c>
      <c r="E34" s="431">
        <v>4.7E-2</v>
      </c>
      <c r="F34" s="430" t="s">
        <v>641</v>
      </c>
      <c r="G34" s="435">
        <v>0.01</v>
      </c>
      <c r="H34" s="435">
        <v>3.0000000000000001E-3</v>
      </c>
      <c r="I34" s="435">
        <v>2.5000000000000001E-3</v>
      </c>
      <c r="J34" s="435"/>
      <c r="K34" s="435"/>
      <c r="L34" s="435"/>
      <c r="M34" s="435"/>
      <c r="N34" s="435"/>
      <c r="O34" s="435"/>
      <c r="P34" s="435"/>
      <c r="Q34" s="435"/>
      <c r="R34" s="435">
        <v>2.5000000000000001E-3</v>
      </c>
      <c r="S34" s="435"/>
      <c r="T34" s="435"/>
      <c r="U34" s="435"/>
      <c r="V34" s="435"/>
      <c r="W34" s="433">
        <v>6.5000000000000002E-2</v>
      </c>
      <c r="X34" s="18"/>
    </row>
    <row r="35" spans="1:24" x14ac:dyDescent="0.15">
      <c r="A35" s="525"/>
      <c r="B35" s="526"/>
      <c r="C35" s="526"/>
      <c r="D35" s="526"/>
      <c r="E35" s="527"/>
      <c r="F35" s="527" t="s">
        <v>609</v>
      </c>
      <c r="G35" s="527"/>
      <c r="H35" s="527"/>
      <c r="I35" s="527"/>
      <c r="J35" s="527"/>
      <c r="K35" s="527"/>
      <c r="L35" s="527"/>
      <c r="M35" s="527"/>
      <c r="N35" s="527"/>
      <c r="O35" s="527"/>
      <c r="P35" s="527"/>
      <c r="Q35" s="527"/>
      <c r="R35" s="527"/>
      <c r="S35" s="527"/>
      <c r="T35" s="527"/>
      <c r="U35" s="527"/>
      <c r="V35" s="527"/>
      <c r="W35" s="527"/>
      <c r="X35" s="18"/>
    </row>
    <row r="36" spans="1:24" x14ac:dyDescent="0.15">
      <c r="A36" s="436" t="s">
        <v>682</v>
      </c>
      <c r="B36" s="434"/>
      <c r="C36" s="432" t="s">
        <v>683</v>
      </c>
      <c r="D36" s="432" t="s">
        <v>683</v>
      </c>
      <c r="E36" s="431">
        <v>4.7E-2</v>
      </c>
      <c r="F36" s="430" t="s">
        <v>641</v>
      </c>
      <c r="G36" s="435">
        <v>0.01</v>
      </c>
      <c r="H36" s="435"/>
      <c r="I36" s="435"/>
      <c r="J36" s="435"/>
      <c r="K36" s="435">
        <v>2.5000000000000001E-3</v>
      </c>
      <c r="L36" s="435"/>
      <c r="M36" s="435"/>
      <c r="N36" s="435"/>
      <c r="O36" s="435">
        <v>1E-3</v>
      </c>
      <c r="P36" s="435"/>
      <c r="Q36" s="435"/>
      <c r="R36" s="435">
        <v>2.5000000000000001E-3</v>
      </c>
      <c r="S36" s="435"/>
      <c r="T36" s="435"/>
      <c r="U36" s="435"/>
      <c r="V36" s="435"/>
      <c r="W36" s="433">
        <v>6.3E-2</v>
      </c>
      <c r="X36" s="18"/>
    </row>
    <row r="37" spans="1:24" x14ac:dyDescent="0.15">
      <c r="A37" s="436" t="s">
        <v>684</v>
      </c>
      <c r="B37" s="434"/>
      <c r="C37" s="432" t="s">
        <v>685</v>
      </c>
      <c r="D37" s="432" t="s">
        <v>683</v>
      </c>
      <c r="E37" s="431">
        <v>4.7E-2</v>
      </c>
      <c r="F37" s="430" t="s">
        <v>641</v>
      </c>
      <c r="G37" s="435">
        <v>0.01</v>
      </c>
      <c r="H37" s="435"/>
      <c r="I37" s="435"/>
      <c r="J37" s="435"/>
      <c r="K37" s="435">
        <v>2.5000000000000001E-3</v>
      </c>
      <c r="L37" s="435"/>
      <c r="M37" s="435"/>
      <c r="N37" s="435"/>
      <c r="O37" s="435">
        <v>1E-3</v>
      </c>
      <c r="P37" s="435"/>
      <c r="Q37" s="435"/>
      <c r="R37" s="435">
        <v>2.5000000000000001E-3</v>
      </c>
      <c r="S37" s="435"/>
      <c r="T37" s="435"/>
      <c r="U37" s="435"/>
      <c r="V37" s="435"/>
      <c r="W37" s="433">
        <v>6.3E-2</v>
      </c>
      <c r="X37" s="18"/>
    </row>
    <row r="38" spans="1:24" x14ac:dyDescent="0.15">
      <c r="A38" s="436" t="s">
        <v>686</v>
      </c>
      <c r="B38" s="434"/>
      <c r="C38" s="432" t="s">
        <v>687</v>
      </c>
      <c r="D38" s="432" t="s">
        <v>683</v>
      </c>
      <c r="E38" s="431">
        <v>4.7E-2</v>
      </c>
      <c r="F38" s="430" t="s">
        <v>641</v>
      </c>
      <c r="G38" s="435">
        <v>0.01</v>
      </c>
      <c r="H38" s="435"/>
      <c r="I38" s="435"/>
      <c r="J38" s="435"/>
      <c r="K38" s="435">
        <v>2.5000000000000001E-3</v>
      </c>
      <c r="L38" s="435"/>
      <c r="M38" s="435"/>
      <c r="N38" s="435"/>
      <c r="O38" s="435">
        <v>1E-3</v>
      </c>
      <c r="P38" s="435"/>
      <c r="Q38" s="435"/>
      <c r="R38" s="435">
        <v>2.5000000000000001E-3</v>
      </c>
      <c r="S38" s="435"/>
      <c r="T38" s="435"/>
      <c r="U38" s="435"/>
      <c r="V38" s="435"/>
      <c r="W38" s="433">
        <v>6.3E-2</v>
      </c>
      <c r="X38" s="18"/>
    </row>
    <row r="39" spans="1:24" x14ac:dyDescent="0.15">
      <c r="A39" s="436" t="s">
        <v>688</v>
      </c>
      <c r="B39" s="434"/>
      <c r="C39" s="432" t="s">
        <v>689</v>
      </c>
      <c r="D39" s="432" t="s">
        <v>683</v>
      </c>
      <c r="E39" s="431">
        <v>4.7E-2</v>
      </c>
      <c r="F39" s="430" t="s">
        <v>641</v>
      </c>
      <c r="G39" s="435">
        <v>0.01</v>
      </c>
      <c r="H39" s="435"/>
      <c r="I39" s="435"/>
      <c r="J39" s="435"/>
      <c r="K39" s="435">
        <v>2.5000000000000001E-3</v>
      </c>
      <c r="L39" s="435"/>
      <c r="M39" s="435"/>
      <c r="N39" s="435"/>
      <c r="O39" s="435">
        <v>1E-3</v>
      </c>
      <c r="P39" s="435"/>
      <c r="Q39" s="435"/>
      <c r="R39" s="435">
        <v>2.5000000000000001E-3</v>
      </c>
      <c r="S39" s="435"/>
      <c r="T39" s="435"/>
      <c r="U39" s="435"/>
      <c r="V39" s="435"/>
      <c r="W39" s="433">
        <v>6.3E-2</v>
      </c>
      <c r="X39" s="18"/>
    </row>
    <row r="40" spans="1:24" x14ac:dyDescent="0.15">
      <c r="A40" s="436" t="s">
        <v>690</v>
      </c>
      <c r="B40" s="434"/>
      <c r="C40" s="432" t="s">
        <v>691</v>
      </c>
      <c r="D40" s="432" t="s">
        <v>691</v>
      </c>
      <c r="E40" s="431">
        <v>4.7E-2</v>
      </c>
      <c r="F40" s="430" t="s">
        <v>641</v>
      </c>
      <c r="G40" s="435">
        <v>0.01</v>
      </c>
      <c r="H40" s="435">
        <v>2.5000000000000001E-3</v>
      </c>
      <c r="I40" s="435"/>
      <c r="J40" s="435"/>
      <c r="K40" s="435">
        <v>2.5000000000000001E-3</v>
      </c>
      <c r="L40" s="435"/>
      <c r="M40" s="435"/>
      <c r="N40" s="435"/>
      <c r="O40" s="435">
        <v>1E-3</v>
      </c>
      <c r="P40" s="435"/>
      <c r="Q40" s="435"/>
      <c r="R40" s="435">
        <v>2.5000000000000001E-3</v>
      </c>
      <c r="S40" s="435"/>
      <c r="T40" s="435"/>
      <c r="U40" s="435"/>
      <c r="V40" s="435"/>
      <c r="W40" s="433">
        <v>6.5500000000000003E-2</v>
      </c>
      <c r="X40" s="18"/>
    </row>
    <row r="41" spans="1:24" x14ac:dyDescent="0.15">
      <c r="A41" s="436" t="s">
        <v>692</v>
      </c>
      <c r="B41" s="434"/>
      <c r="C41" s="432" t="s">
        <v>693</v>
      </c>
      <c r="D41" s="432" t="s">
        <v>693</v>
      </c>
      <c r="E41" s="431">
        <v>4.7E-2</v>
      </c>
      <c r="F41" s="430" t="s">
        <v>641</v>
      </c>
      <c r="G41" s="435">
        <v>0.01</v>
      </c>
      <c r="H41" s="435">
        <v>3.0000000000000001E-3</v>
      </c>
      <c r="I41" s="435"/>
      <c r="J41" s="435"/>
      <c r="K41" s="435">
        <v>2.5000000000000001E-3</v>
      </c>
      <c r="L41" s="435"/>
      <c r="M41" s="435"/>
      <c r="N41" s="435"/>
      <c r="O41" s="435">
        <v>1E-3</v>
      </c>
      <c r="P41" s="435"/>
      <c r="Q41" s="435"/>
      <c r="R41" s="435">
        <v>2.5000000000000001E-3</v>
      </c>
      <c r="S41" s="435"/>
      <c r="T41" s="435"/>
      <c r="U41" s="435"/>
      <c r="V41" s="435"/>
      <c r="W41" s="433">
        <v>6.6000000000000003E-2</v>
      </c>
      <c r="X41" s="18"/>
    </row>
    <row r="42" spans="1:24" x14ac:dyDescent="0.15">
      <c r="A42" s="436" t="s">
        <v>694</v>
      </c>
      <c r="B42" s="434"/>
      <c r="C42" s="432" t="s">
        <v>695</v>
      </c>
      <c r="D42" s="432" t="s">
        <v>695</v>
      </c>
      <c r="E42" s="431">
        <v>4.7E-2</v>
      </c>
      <c r="F42" s="430" t="s">
        <v>641</v>
      </c>
      <c r="G42" s="435">
        <v>0.01</v>
      </c>
      <c r="H42" s="435">
        <v>2.5000000000000001E-3</v>
      </c>
      <c r="I42" s="435"/>
      <c r="J42" s="435"/>
      <c r="K42" s="435">
        <v>2.5000000000000001E-3</v>
      </c>
      <c r="L42" s="435"/>
      <c r="M42" s="435"/>
      <c r="N42" s="435"/>
      <c r="O42" s="435">
        <v>1E-3</v>
      </c>
      <c r="P42" s="435"/>
      <c r="Q42" s="435"/>
      <c r="R42" s="435">
        <v>2.5000000000000001E-3</v>
      </c>
      <c r="S42" s="435"/>
      <c r="T42" s="435"/>
      <c r="U42" s="435"/>
      <c r="V42" s="435"/>
      <c r="W42" s="433">
        <v>6.5500000000000003E-2</v>
      </c>
      <c r="X42" s="18"/>
    </row>
    <row r="43" spans="1:24" x14ac:dyDescent="0.15">
      <c r="A43" s="436" t="s">
        <v>696</v>
      </c>
      <c r="B43" s="434"/>
      <c r="C43" s="432" t="s">
        <v>697</v>
      </c>
      <c r="D43" s="432" t="s">
        <v>697</v>
      </c>
      <c r="E43" s="431">
        <v>4.7E-2</v>
      </c>
      <c r="F43" s="430" t="s">
        <v>641</v>
      </c>
      <c r="G43" s="435">
        <v>0.01</v>
      </c>
      <c r="H43" s="435">
        <v>3.0000000000000001E-3</v>
      </c>
      <c r="I43" s="435"/>
      <c r="J43" s="435"/>
      <c r="K43" s="435">
        <v>2.5000000000000001E-3</v>
      </c>
      <c r="L43" s="435"/>
      <c r="M43" s="435"/>
      <c r="N43" s="435"/>
      <c r="O43" s="435">
        <v>1E-3</v>
      </c>
      <c r="P43" s="435"/>
      <c r="Q43" s="435"/>
      <c r="R43" s="435">
        <v>2.5000000000000001E-3</v>
      </c>
      <c r="S43" s="435"/>
      <c r="T43" s="435"/>
      <c r="U43" s="435"/>
      <c r="V43" s="435"/>
      <c r="W43" s="433">
        <v>6.6000000000000003E-2</v>
      </c>
      <c r="X43" s="18"/>
    </row>
    <row r="44" spans="1:24" x14ac:dyDescent="0.15">
      <c r="A44" s="436" t="s">
        <v>698</v>
      </c>
      <c r="B44" s="434"/>
      <c r="C44" s="432" t="s">
        <v>699</v>
      </c>
      <c r="D44" s="432" t="s">
        <v>683</v>
      </c>
      <c r="E44" s="431">
        <v>4.7E-2</v>
      </c>
      <c r="F44" s="430" t="s">
        <v>641</v>
      </c>
      <c r="G44" s="435">
        <v>0.01</v>
      </c>
      <c r="H44" s="435"/>
      <c r="I44" s="435"/>
      <c r="J44" s="435"/>
      <c r="K44" s="435">
        <v>2.5000000000000001E-3</v>
      </c>
      <c r="L44" s="435"/>
      <c r="M44" s="435"/>
      <c r="N44" s="435"/>
      <c r="O44" s="435">
        <v>1E-3</v>
      </c>
      <c r="P44" s="435"/>
      <c r="Q44" s="435"/>
      <c r="R44" s="435">
        <v>2.5000000000000001E-3</v>
      </c>
      <c r="S44" s="435"/>
      <c r="T44" s="435"/>
      <c r="U44" s="435"/>
      <c r="V44" s="435"/>
      <c r="W44" s="433">
        <v>6.3E-2</v>
      </c>
      <c r="X44" s="18"/>
    </row>
    <row r="45" spans="1:24" x14ac:dyDescent="0.15">
      <c r="A45" s="436" t="s">
        <v>700</v>
      </c>
      <c r="B45" s="434"/>
      <c r="C45" s="432" t="s">
        <v>701</v>
      </c>
      <c r="D45" s="432" t="s">
        <v>701</v>
      </c>
      <c r="E45" s="431">
        <v>4.7E-2</v>
      </c>
      <c r="F45" s="430" t="s">
        <v>641</v>
      </c>
      <c r="G45" s="435">
        <v>0.01</v>
      </c>
      <c r="H45" s="435">
        <v>2.5000000000000001E-3</v>
      </c>
      <c r="I45" s="435"/>
      <c r="J45" s="435"/>
      <c r="K45" s="435">
        <v>2.5000000000000001E-3</v>
      </c>
      <c r="L45" s="435"/>
      <c r="M45" s="435"/>
      <c r="N45" s="435"/>
      <c r="O45" s="435">
        <v>1E-3</v>
      </c>
      <c r="P45" s="435"/>
      <c r="Q45" s="435"/>
      <c r="R45" s="435">
        <v>2.5000000000000001E-3</v>
      </c>
      <c r="S45" s="435"/>
      <c r="T45" s="435"/>
      <c r="U45" s="435"/>
      <c r="V45" s="435"/>
      <c r="W45" s="433">
        <v>6.5500000000000003E-2</v>
      </c>
      <c r="X45" s="18"/>
    </row>
    <row r="46" spans="1:24" x14ac:dyDescent="0.15">
      <c r="A46" s="436" t="s">
        <v>702</v>
      </c>
      <c r="B46" s="434"/>
      <c r="C46" s="432" t="s">
        <v>703</v>
      </c>
      <c r="D46" s="432" t="s">
        <v>683</v>
      </c>
      <c r="E46" s="431">
        <v>4.7E-2</v>
      </c>
      <c r="F46" s="430" t="s">
        <v>641</v>
      </c>
      <c r="G46" s="435">
        <v>0.01</v>
      </c>
      <c r="H46" s="435"/>
      <c r="I46" s="435"/>
      <c r="J46" s="435"/>
      <c r="K46" s="435">
        <v>2.5000000000000001E-3</v>
      </c>
      <c r="L46" s="435"/>
      <c r="M46" s="435"/>
      <c r="N46" s="435"/>
      <c r="O46" s="435">
        <v>1E-3</v>
      </c>
      <c r="P46" s="435"/>
      <c r="Q46" s="435"/>
      <c r="R46" s="435">
        <v>2.5000000000000001E-3</v>
      </c>
      <c r="S46" s="435"/>
      <c r="T46" s="435"/>
      <c r="U46" s="435"/>
      <c r="V46" s="435"/>
      <c r="W46" s="433">
        <v>6.3E-2</v>
      </c>
      <c r="X46" s="18"/>
    </row>
    <row r="47" spans="1:24" x14ac:dyDescent="0.15">
      <c r="A47" s="436" t="s">
        <v>704</v>
      </c>
      <c r="B47" s="434"/>
      <c r="C47" s="432" t="s">
        <v>705</v>
      </c>
      <c r="D47" s="432" t="s">
        <v>705</v>
      </c>
      <c r="E47" s="431">
        <v>4.7E-2</v>
      </c>
      <c r="F47" s="430" t="s">
        <v>641</v>
      </c>
      <c r="G47" s="435">
        <v>0.01</v>
      </c>
      <c r="H47" s="435">
        <v>3.0000000000000001E-3</v>
      </c>
      <c r="I47" s="435"/>
      <c r="J47" s="435"/>
      <c r="K47" s="435">
        <v>2.5000000000000001E-3</v>
      </c>
      <c r="L47" s="435"/>
      <c r="M47" s="435"/>
      <c r="N47" s="435"/>
      <c r="O47" s="435">
        <v>1E-3</v>
      </c>
      <c r="P47" s="435"/>
      <c r="Q47" s="435"/>
      <c r="R47" s="435">
        <v>2.5000000000000001E-3</v>
      </c>
      <c r="S47" s="435"/>
      <c r="T47" s="435"/>
      <c r="U47" s="435"/>
      <c r="V47" s="435"/>
      <c r="W47" s="433">
        <v>6.6000000000000003E-2</v>
      </c>
      <c r="X47" s="18"/>
    </row>
    <row r="48" spans="1:24" x14ac:dyDescent="0.15">
      <c r="A48" s="436" t="s">
        <v>706</v>
      </c>
      <c r="B48" s="434"/>
      <c r="C48" s="432" t="s">
        <v>707</v>
      </c>
      <c r="D48" s="432" t="s">
        <v>683</v>
      </c>
      <c r="E48" s="431">
        <v>4.7E-2</v>
      </c>
      <c r="F48" s="430" t="s">
        <v>641</v>
      </c>
      <c r="G48" s="435">
        <v>0.01</v>
      </c>
      <c r="H48" s="435"/>
      <c r="I48" s="435"/>
      <c r="J48" s="435"/>
      <c r="K48" s="435">
        <v>2.5000000000000001E-3</v>
      </c>
      <c r="L48" s="435"/>
      <c r="M48" s="435"/>
      <c r="N48" s="435"/>
      <c r="O48" s="435">
        <v>1E-3</v>
      </c>
      <c r="P48" s="435"/>
      <c r="Q48" s="435"/>
      <c r="R48" s="435">
        <v>2.5000000000000001E-3</v>
      </c>
      <c r="S48" s="435"/>
      <c r="T48" s="435"/>
      <c r="U48" s="435"/>
      <c r="V48" s="435"/>
      <c r="W48" s="433">
        <v>6.3E-2</v>
      </c>
      <c r="X48" s="18"/>
    </row>
    <row r="49" spans="1:24" x14ac:dyDescent="0.15">
      <c r="A49" s="436" t="s">
        <v>708</v>
      </c>
      <c r="B49" s="434"/>
      <c r="C49" s="432" t="s">
        <v>709</v>
      </c>
      <c r="D49" s="432" t="s">
        <v>709</v>
      </c>
      <c r="E49" s="431">
        <v>4.7E-2</v>
      </c>
      <c r="F49" s="430" t="s">
        <v>641</v>
      </c>
      <c r="G49" s="435">
        <v>0.01</v>
      </c>
      <c r="H49" s="435">
        <v>3.0000000000000001E-3</v>
      </c>
      <c r="I49" s="435"/>
      <c r="J49" s="435"/>
      <c r="K49" s="435">
        <v>2.5000000000000001E-3</v>
      </c>
      <c r="L49" s="435"/>
      <c r="M49" s="435"/>
      <c r="N49" s="435"/>
      <c r="O49" s="435">
        <v>1E-3</v>
      </c>
      <c r="P49" s="435"/>
      <c r="Q49" s="435"/>
      <c r="R49" s="435">
        <v>2.5000000000000001E-3</v>
      </c>
      <c r="S49" s="435"/>
      <c r="T49" s="435"/>
      <c r="U49" s="435"/>
      <c r="V49" s="435"/>
      <c r="W49" s="433">
        <v>6.6000000000000003E-2</v>
      </c>
      <c r="X49" s="18"/>
    </row>
    <row r="50" spans="1:24" x14ac:dyDescent="0.15">
      <c r="A50" s="436" t="s">
        <v>710</v>
      </c>
      <c r="B50" s="434"/>
      <c r="C50" s="432" t="s">
        <v>711</v>
      </c>
      <c r="D50" s="432" t="s">
        <v>711</v>
      </c>
      <c r="E50" s="431">
        <v>4.7E-2</v>
      </c>
      <c r="F50" s="430" t="s">
        <v>641</v>
      </c>
      <c r="G50" s="435">
        <v>0.01</v>
      </c>
      <c r="H50" s="435">
        <v>3.0000000000000001E-3</v>
      </c>
      <c r="I50" s="435"/>
      <c r="J50" s="435"/>
      <c r="K50" s="435">
        <v>2.5000000000000001E-3</v>
      </c>
      <c r="L50" s="435"/>
      <c r="M50" s="435"/>
      <c r="N50" s="435"/>
      <c r="O50" s="435">
        <v>1E-3</v>
      </c>
      <c r="P50" s="435"/>
      <c r="Q50" s="435"/>
      <c r="R50" s="435">
        <v>2.5000000000000001E-3</v>
      </c>
      <c r="S50" s="435"/>
      <c r="T50" s="435"/>
      <c r="U50" s="435"/>
      <c r="V50" s="435"/>
      <c r="W50" s="433">
        <v>6.6000000000000003E-2</v>
      </c>
      <c r="X50" s="18"/>
    </row>
    <row r="51" spans="1:24" x14ac:dyDescent="0.15">
      <c r="A51" s="436" t="s">
        <v>712</v>
      </c>
      <c r="B51" s="434"/>
      <c r="C51" s="432" t="s">
        <v>713</v>
      </c>
      <c r="D51" s="432" t="s">
        <v>713</v>
      </c>
      <c r="E51" s="431">
        <v>4.7E-2</v>
      </c>
      <c r="F51" s="430" t="s">
        <v>641</v>
      </c>
      <c r="G51" s="435">
        <v>0.01</v>
      </c>
      <c r="H51" s="435">
        <v>3.0000000000000001E-3</v>
      </c>
      <c r="I51" s="435"/>
      <c r="J51" s="435"/>
      <c r="K51" s="435">
        <v>2.5000000000000001E-3</v>
      </c>
      <c r="L51" s="435"/>
      <c r="M51" s="435"/>
      <c r="N51" s="435"/>
      <c r="O51" s="435">
        <v>1E-3</v>
      </c>
      <c r="P51" s="435"/>
      <c r="Q51" s="435"/>
      <c r="R51" s="435">
        <v>2.5000000000000001E-3</v>
      </c>
      <c r="S51" s="435"/>
      <c r="T51" s="435"/>
      <c r="U51" s="435"/>
      <c r="V51" s="435"/>
      <c r="W51" s="433">
        <v>6.6000000000000003E-2</v>
      </c>
      <c r="X51" s="18"/>
    </row>
    <row r="52" spans="1:24" x14ac:dyDescent="0.15">
      <c r="A52" s="436" t="s">
        <v>714</v>
      </c>
      <c r="B52" s="434"/>
      <c r="C52" s="432" t="s">
        <v>715</v>
      </c>
      <c r="D52" s="432" t="s">
        <v>715</v>
      </c>
      <c r="E52" s="431">
        <v>4.7E-2</v>
      </c>
      <c r="F52" s="430" t="s">
        <v>641</v>
      </c>
      <c r="G52" s="435">
        <v>0.01</v>
      </c>
      <c r="H52" s="435">
        <v>3.0000000000000001E-3</v>
      </c>
      <c r="I52" s="435"/>
      <c r="J52" s="435"/>
      <c r="K52" s="435">
        <v>2.5000000000000001E-3</v>
      </c>
      <c r="L52" s="435"/>
      <c r="M52" s="435"/>
      <c r="N52" s="435"/>
      <c r="O52" s="435">
        <v>1E-3</v>
      </c>
      <c r="P52" s="435"/>
      <c r="Q52" s="435"/>
      <c r="R52" s="435">
        <v>2.5000000000000001E-3</v>
      </c>
      <c r="S52" s="435"/>
      <c r="T52" s="435"/>
      <c r="U52" s="435"/>
      <c r="V52" s="435"/>
      <c r="W52" s="433">
        <v>6.6000000000000003E-2</v>
      </c>
      <c r="X52" s="18"/>
    </row>
    <row r="53" spans="1:24" x14ac:dyDescent="0.15">
      <c r="A53" s="436" t="s">
        <v>716</v>
      </c>
      <c r="B53" s="434"/>
      <c r="C53" s="432" t="s">
        <v>717</v>
      </c>
      <c r="D53" s="432" t="s">
        <v>683</v>
      </c>
      <c r="E53" s="431">
        <v>4.7E-2</v>
      </c>
      <c r="F53" s="430" t="s">
        <v>641</v>
      </c>
      <c r="G53" s="435">
        <v>0.01</v>
      </c>
      <c r="H53" s="435"/>
      <c r="I53" s="435"/>
      <c r="J53" s="435"/>
      <c r="K53" s="435">
        <v>2.5000000000000001E-3</v>
      </c>
      <c r="L53" s="435"/>
      <c r="M53" s="435"/>
      <c r="N53" s="435"/>
      <c r="O53" s="435">
        <v>1E-3</v>
      </c>
      <c r="P53" s="435"/>
      <c r="Q53" s="435"/>
      <c r="R53" s="435">
        <v>2.5000000000000001E-3</v>
      </c>
      <c r="S53" s="435"/>
      <c r="T53" s="435"/>
      <c r="U53" s="435"/>
      <c r="V53" s="435"/>
      <c r="W53" s="433">
        <v>6.3E-2</v>
      </c>
      <c r="X53" s="18"/>
    </row>
    <row r="54" spans="1:24" x14ac:dyDescent="0.15">
      <c r="A54" s="436" t="s">
        <v>718</v>
      </c>
      <c r="B54" s="434"/>
      <c r="C54" s="432" t="s">
        <v>719</v>
      </c>
      <c r="D54" s="432" t="s">
        <v>683</v>
      </c>
      <c r="E54" s="431">
        <v>4.7E-2</v>
      </c>
      <c r="F54" s="430" t="s">
        <v>641</v>
      </c>
      <c r="G54" s="435">
        <v>0.01</v>
      </c>
      <c r="H54" s="435"/>
      <c r="I54" s="435"/>
      <c r="J54" s="435"/>
      <c r="K54" s="435">
        <v>2.5000000000000001E-3</v>
      </c>
      <c r="L54" s="435"/>
      <c r="M54" s="435"/>
      <c r="N54" s="435"/>
      <c r="O54" s="435">
        <v>1E-3</v>
      </c>
      <c r="P54" s="435"/>
      <c r="Q54" s="435"/>
      <c r="R54" s="435">
        <v>2.5000000000000001E-3</v>
      </c>
      <c r="S54" s="435"/>
      <c r="T54" s="435"/>
      <c r="U54" s="435"/>
      <c r="V54" s="435"/>
      <c r="W54" s="433">
        <v>6.3E-2</v>
      </c>
      <c r="X54" s="18"/>
    </row>
    <row r="55" spans="1:24" x14ac:dyDescent="0.15">
      <c r="A55" s="436" t="s">
        <v>720</v>
      </c>
      <c r="B55" s="434"/>
      <c r="C55" s="432" t="s">
        <v>721</v>
      </c>
      <c r="D55" s="432" t="s">
        <v>721</v>
      </c>
      <c r="E55" s="431">
        <v>4.7E-2</v>
      </c>
      <c r="F55" s="430" t="s">
        <v>641</v>
      </c>
      <c r="G55" s="435">
        <v>0.01</v>
      </c>
      <c r="H55" s="435">
        <v>3.0000000000000001E-3</v>
      </c>
      <c r="I55" s="435"/>
      <c r="J55" s="435"/>
      <c r="K55" s="435">
        <v>2.5000000000000001E-3</v>
      </c>
      <c r="L55" s="435"/>
      <c r="M55" s="435"/>
      <c r="N55" s="435"/>
      <c r="O55" s="435">
        <v>1E-3</v>
      </c>
      <c r="P55" s="435"/>
      <c r="Q55" s="435"/>
      <c r="R55" s="435">
        <v>2.5000000000000001E-3</v>
      </c>
      <c r="S55" s="435"/>
      <c r="T55" s="435"/>
      <c r="U55" s="435"/>
      <c r="V55" s="435"/>
      <c r="W55" s="433">
        <v>6.6000000000000003E-2</v>
      </c>
      <c r="X55" s="18"/>
    </row>
    <row r="56" spans="1:24" x14ac:dyDescent="0.15">
      <c r="A56" s="436" t="s">
        <v>722</v>
      </c>
      <c r="B56" s="528" t="s">
        <v>723</v>
      </c>
      <c r="C56" s="529" t="s">
        <v>724</v>
      </c>
      <c r="D56" s="529" t="s">
        <v>724</v>
      </c>
      <c r="E56" s="431">
        <v>4.7E-2</v>
      </c>
      <c r="F56" s="430" t="s">
        <v>641</v>
      </c>
      <c r="G56" s="435">
        <v>0.01</v>
      </c>
      <c r="H56" s="435">
        <v>2.5000000000000001E-3</v>
      </c>
      <c r="I56" s="435"/>
      <c r="J56" s="435"/>
      <c r="K56" s="435">
        <v>2.5000000000000001E-3</v>
      </c>
      <c r="L56" s="435"/>
      <c r="M56" s="435"/>
      <c r="N56" s="435"/>
      <c r="O56" s="435">
        <v>1E-3</v>
      </c>
      <c r="P56" s="435"/>
      <c r="Q56" s="435"/>
      <c r="R56" s="435">
        <v>2.5000000000000001E-3</v>
      </c>
      <c r="S56" s="435"/>
      <c r="T56" s="435"/>
      <c r="U56" s="435"/>
      <c r="V56" s="435"/>
      <c r="W56" s="433">
        <v>6.5500000000000003E-2</v>
      </c>
      <c r="X56" s="18"/>
    </row>
    <row r="57" spans="1:24" x14ac:dyDescent="0.15">
      <c r="A57" s="525"/>
      <c r="B57" s="526"/>
      <c r="C57" s="526"/>
      <c r="D57" s="526"/>
      <c r="E57" s="527"/>
      <c r="F57" s="527" t="s">
        <v>609</v>
      </c>
      <c r="G57" s="527"/>
      <c r="H57" s="527"/>
      <c r="I57" s="527"/>
      <c r="J57" s="527"/>
      <c r="K57" s="527"/>
      <c r="L57" s="527"/>
      <c r="M57" s="527"/>
      <c r="N57" s="527"/>
      <c r="O57" s="527"/>
      <c r="P57" s="527"/>
      <c r="Q57" s="527"/>
      <c r="R57" s="527"/>
      <c r="S57" s="527"/>
      <c r="T57" s="527"/>
      <c r="U57" s="527"/>
      <c r="V57" s="527"/>
      <c r="W57" s="527"/>
      <c r="X57" s="18"/>
    </row>
    <row r="58" spans="1:24" x14ac:dyDescent="0.15">
      <c r="A58" s="436" t="s">
        <v>725</v>
      </c>
      <c r="B58" s="434"/>
      <c r="C58" s="432" t="s">
        <v>726</v>
      </c>
      <c r="D58" s="432" t="s">
        <v>726</v>
      </c>
      <c r="E58" s="431">
        <v>4.7E-2</v>
      </c>
      <c r="F58" s="430" t="s">
        <v>641</v>
      </c>
      <c r="G58" s="435">
        <v>0.01</v>
      </c>
      <c r="H58" s="435"/>
      <c r="I58" s="435"/>
      <c r="J58" s="435"/>
      <c r="K58" s="435"/>
      <c r="L58" s="435"/>
      <c r="M58" s="435"/>
      <c r="N58" s="435"/>
      <c r="O58" s="435"/>
      <c r="P58" s="435"/>
      <c r="Q58" s="435"/>
      <c r="R58" s="435">
        <v>2.5000000000000001E-3</v>
      </c>
      <c r="S58" s="435"/>
      <c r="T58" s="435"/>
      <c r="U58" s="435"/>
      <c r="V58" s="435"/>
      <c r="W58" s="433">
        <v>5.9500000000000004E-2</v>
      </c>
      <c r="X58" s="18"/>
    </row>
    <row r="59" spans="1:24" x14ac:dyDescent="0.15">
      <c r="A59" s="436" t="s">
        <v>727</v>
      </c>
      <c r="B59" s="434"/>
      <c r="C59" s="432" t="s">
        <v>728</v>
      </c>
      <c r="D59" s="432" t="s">
        <v>726</v>
      </c>
      <c r="E59" s="431">
        <v>4.7E-2</v>
      </c>
      <c r="F59" s="430" t="s">
        <v>641</v>
      </c>
      <c r="G59" s="435">
        <v>0.01</v>
      </c>
      <c r="H59" s="435"/>
      <c r="I59" s="435"/>
      <c r="J59" s="435"/>
      <c r="K59" s="435"/>
      <c r="L59" s="435"/>
      <c r="M59" s="435"/>
      <c r="N59" s="435"/>
      <c r="O59" s="435"/>
      <c r="P59" s="435"/>
      <c r="Q59" s="435"/>
      <c r="R59" s="435">
        <v>2.5000000000000001E-3</v>
      </c>
      <c r="S59" s="435"/>
      <c r="T59" s="435"/>
      <c r="U59" s="435"/>
      <c r="V59" s="435"/>
      <c r="W59" s="433">
        <v>5.9500000000000004E-2</v>
      </c>
      <c r="X59" s="18"/>
    </row>
    <row r="60" spans="1:24" x14ac:dyDescent="0.15">
      <c r="A60" s="436" t="s">
        <v>729</v>
      </c>
      <c r="B60" s="434"/>
      <c r="C60" s="432" t="s">
        <v>730</v>
      </c>
      <c r="D60" s="432" t="s">
        <v>730</v>
      </c>
      <c r="E60" s="431">
        <v>4.7E-2</v>
      </c>
      <c r="F60" s="430" t="s">
        <v>641</v>
      </c>
      <c r="G60" s="435">
        <v>0.01</v>
      </c>
      <c r="H60" s="435"/>
      <c r="I60" s="435"/>
      <c r="J60" s="435"/>
      <c r="K60" s="435"/>
      <c r="L60" s="435"/>
      <c r="M60" s="435"/>
      <c r="N60" s="435"/>
      <c r="O60" s="435"/>
      <c r="P60" s="435">
        <v>1E-3</v>
      </c>
      <c r="Q60" s="435">
        <v>3.0000000000000001E-3</v>
      </c>
      <c r="R60" s="435">
        <v>2.5000000000000001E-3</v>
      </c>
      <c r="S60" s="435"/>
      <c r="T60" s="435"/>
      <c r="U60" s="435"/>
      <c r="V60" s="435"/>
      <c r="W60" s="433">
        <v>6.3500000000000001E-2</v>
      </c>
      <c r="X60" s="18"/>
    </row>
    <row r="61" spans="1:24" x14ac:dyDescent="0.15">
      <c r="A61" s="436" t="s">
        <v>731</v>
      </c>
      <c r="B61" s="434"/>
      <c r="C61" s="432" t="s">
        <v>732</v>
      </c>
      <c r="D61" s="432" t="s">
        <v>726</v>
      </c>
      <c r="E61" s="431">
        <v>4.7E-2</v>
      </c>
      <c r="F61" s="430" t="s">
        <v>641</v>
      </c>
      <c r="G61" s="435">
        <v>0.01</v>
      </c>
      <c r="H61" s="435"/>
      <c r="I61" s="435"/>
      <c r="J61" s="435"/>
      <c r="K61" s="435"/>
      <c r="L61" s="435"/>
      <c r="M61" s="435"/>
      <c r="N61" s="435"/>
      <c r="O61" s="435"/>
      <c r="P61" s="435"/>
      <c r="Q61" s="435"/>
      <c r="R61" s="435">
        <v>2.5000000000000001E-3</v>
      </c>
      <c r="S61" s="435"/>
      <c r="T61" s="435"/>
      <c r="U61" s="435"/>
      <c r="V61" s="435"/>
      <c r="W61" s="433">
        <v>5.9500000000000004E-2</v>
      </c>
      <c r="X61" s="18"/>
    </row>
    <row r="62" spans="1:24" x14ac:dyDescent="0.15">
      <c r="A62" s="436" t="s">
        <v>733</v>
      </c>
      <c r="B62" s="434"/>
      <c r="C62" s="432" t="s">
        <v>734</v>
      </c>
      <c r="D62" s="432" t="s">
        <v>726</v>
      </c>
      <c r="E62" s="431">
        <v>4.7E-2</v>
      </c>
      <c r="F62" s="430" t="s">
        <v>641</v>
      </c>
      <c r="G62" s="435">
        <v>0.01</v>
      </c>
      <c r="H62" s="435"/>
      <c r="I62" s="435"/>
      <c r="J62" s="435"/>
      <c r="K62" s="435"/>
      <c r="L62" s="435"/>
      <c r="M62" s="435"/>
      <c r="N62" s="435"/>
      <c r="O62" s="435"/>
      <c r="P62" s="435"/>
      <c r="Q62" s="435"/>
      <c r="R62" s="435">
        <v>2.5000000000000001E-3</v>
      </c>
      <c r="S62" s="435"/>
      <c r="T62" s="435"/>
      <c r="U62" s="435"/>
      <c r="V62" s="435"/>
      <c r="W62" s="433">
        <v>5.9500000000000004E-2</v>
      </c>
      <c r="X62" s="18"/>
    </row>
    <row r="63" spans="1:24" x14ac:dyDescent="0.15">
      <c r="A63" s="436" t="s">
        <v>735</v>
      </c>
      <c r="B63" s="434"/>
      <c r="C63" s="432" t="s">
        <v>736</v>
      </c>
      <c r="D63" s="432" t="s">
        <v>736</v>
      </c>
      <c r="E63" s="431">
        <v>4.7E-2</v>
      </c>
      <c r="F63" s="430" t="s">
        <v>641</v>
      </c>
      <c r="G63" s="435">
        <v>0.01</v>
      </c>
      <c r="H63" s="435"/>
      <c r="I63" s="435"/>
      <c r="J63" s="435"/>
      <c r="K63" s="435"/>
      <c r="L63" s="435"/>
      <c r="M63" s="435"/>
      <c r="N63" s="435"/>
      <c r="O63" s="435"/>
      <c r="P63" s="435"/>
      <c r="Q63" s="435">
        <v>3.0000000000000001E-3</v>
      </c>
      <c r="R63" s="435">
        <v>2.5000000000000001E-3</v>
      </c>
      <c r="S63" s="435"/>
      <c r="T63" s="435"/>
      <c r="U63" s="435"/>
      <c r="V63" s="435"/>
      <c r="W63" s="433">
        <v>6.25E-2</v>
      </c>
      <c r="X63" s="18"/>
    </row>
    <row r="64" spans="1:24" x14ac:dyDescent="0.15">
      <c r="A64" s="436" t="s">
        <v>737</v>
      </c>
      <c r="B64" s="434"/>
      <c r="C64" s="432" t="s">
        <v>738</v>
      </c>
      <c r="D64" s="432" t="s">
        <v>726</v>
      </c>
      <c r="E64" s="431">
        <v>4.7E-2</v>
      </c>
      <c r="F64" s="430" t="s">
        <v>641</v>
      </c>
      <c r="G64" s="435">
        <v>0.01</v>
      </c>
      <c r="H64" s="435"/>
      <c r="I64" s="435"/>
      <c r="J64" s="435"/>
      <c r="K64" s="435"/>
      <c r="L64" s="435"/>
      <c r="M64" s="435"/>
      <c r="N64" s="435"/>
      <c r="O64" s="435"/>
      <c r="P64" s="435"/>
      <c r="Q64" s="435"/>
      <c r="R64" s="435">
        <v>2.5000000000000001E-3</v>
      </c>
      <c r="S64" s="435"/>
      <c r="T64" s="435"/>
      <c r="U64" s="435"/>
      <c r="V64" s="435"/>
      <c r="W64" s="433">
        <v>5.9500000000000004E-2</v>
      </c>
      <c r="X64" s="18"/>
    </row>
    <row r="65" spans="1:24" x14ac:dyDescent="0.15">
      <c r="A65" s="525"/>
      <c r="B65" s="526"/>
      <c r="C65" s="526"/>
      <c r="D65" s="526"/>
      <c r="E65" s="527"/>
      <c r="F65" s="527" t="s">
        <v>609</v>
      </c>
      <c r="G65" s="527"/>
      <c r="H65" s="527"/>
      <c r="I65" s="527"/>
      <c r="J65" s="527"/>
      <c r="K65" s="527"/>
      <c r="L65" s="527"/>
      <c r="M65" s="527"/>
      <c r="N65" s="527"/>
      <c r="O65" s="527"/>
      <c r="P65" s="527"/>
      <c r="Q65" s="527"/>
      <c r="R65" s="527"/>
      <c r="S65" s="527"/>
      <c r="T65" s="527"/>
      <c r="U65" s="527"/>
      <c r="V65" s="527"/>
      <c r="W65" s="527"/>
      <c r="X65" s="18"/>
    </row>
    <row r="66" spans="1:24" x14ac:dyDescent="0.15">
      <c r="A66" s="436" t="s">
        <v>739</v>
      </c>
      <c r="B66" s="434"/>
      <c r="C66" s="432" t="s">
        <v>740</v>
      </c>
      <c r="D66" s="432" t="s">
        <v>740</v>
      </c>
      <c r="E66" s="431">
        <v>4.7E-2</v>
      </c>
      <c r="F66" s="430" t="s">
        <v>641</v>
      </c>
      <c r="G66" s="435">
        <v>0.01</v>
      </c>
      <c r="H66" s="435"/>
      <c r="I66" s="435"/>
      <c r="J66" s="435"/>
      <c r="K66" s="435"/>
      <c r="L66" s="435"/>
      <c r="M66" s="435"/>
      <c r="N66" s="435">
        <v>0.01</v>
      </c>
      <c r="O66" s="435"/>
      <c r="P66" s="435"/>
      <c r="Q66" s="435"/>
      <c r="R66" s="435">
        <v>2.5000000000000001E-3</v>
      </c>
      <c r="S66" s="435"/>
      <c r="T66" s="435"/>
      <c r="U66" s="435"/>
      <c r="V66" s="435"/>
      <c r="W66" s="433">
        <v>6.9500000000000006E-2</v>
      </c>
      <c r="X66" s="18"/>
    </row>
    <row r="67" spans="1:24" x14ac:dyDescent="0.15">
      <c r="A67" s="436" t="s">
        <v>741</v>
      </c>
      <c r="B67" s="434"/>
      <c r="C67" s="432" t="s">
        <v>742</v>
      </c>
      <c r="D67" s="432" t="s">
        <v>740</v>
      </c>
      <c r="E67" s="431">
        <v>4.7E-2</v>
      </c>
      <c r="F67" s="430" t="s">
        <v>641</v>
      </c>
      <c r="G67" s="435">
        <v>0.01</v>
      </c>
      <c r="H67" s="435"/>
      <c r="I67" s="435"/>
      <c r="J67" s="435"/>
      <c r="K67" s="435"/>
      <c r="L67" s="435"/>
      <c r="M67" s="435"/>
      <c r="N67" s="435">
        <v>0.01</v>
      </c>
      <c r="O67" s="435"/>
      <c r="P67" s="435"/>
      <c r="Q67" s="435"/>
      <c r="R67" s="435">
        <v>2.5000000000000001E-3</v>
      </c>
      <c r="S67" s="435"/>
      <c r="T67" s="435"/>
      <c r="U67" s="435"/>
      <c r="V67" s="435"/>
      <c r="W67" s="433">
        <v>6.9500000000000006E-2</v>
      </c>
      <c r="X67" s="18"/>
    </row>
    <row r="68" spans="1:24" x14ac:dyDescent="0.15">
      <c r="A68" s="525"/>
      <c r="B68" s="526"/>
      <c r="C68" s="526"/>
      <c r="D68" s="526"/>
      <c r="E68" s="527"/>
      <c r="F68" s="527" t="s">
        <v>609</v>
      </c>
      <c r="G68" s="527"/>
      <c r="H68" s="527"/>
      <c r="I68" s="527"/>
      <c r="J68" s="527"/>
      <c r="K68" s="527"/>
      <c r="L68" s="527"/>
      <c r="M68" s="527"/>
      <c r="N68" s="527"/>
      <c r="O68" s="527"/>
      <c r="P68" s="527"/>
      <c r="Q68" s="527"/>
      <c r="R68" s="527"/>
      <c r="S68" s="527"/>
      <c r="T68" s="527"/>
      <c r="U68" s="527"/>
      <c r="V68" s="527"/>
      <c r="W68" s="527"/>
      <c r="X68" s="18"/>
    </row>
    <row r="69" spans="1:24" x14ac:dyDescent="0.15">
      <c r="A69" s="436" t="s">
        <v>36</v>
      </c>
      <c r="B69" s="434"/>
      <c r="C69" s="432" t="s">
        <v>743</v>
      </c>
      <c r="D69" s="432" t="s">
        <v>743</v>
      </c>
      <c r="E69" s="431">
        <v>4.7E-2</v>
      </c>
      <c r="F69" s="430" t="s">
        <v>641</v>
      </c>
      <c r="G69" s="435">
        <v>0.01</v>
      </c>
      <c r="H69" s="435">
        <v>2.5000000000000001E-3</v>
      </c>
      <c r="I69" s="435">
        <v>2.5000000000000001E-3</v>
      </c>
      <c r="J69" s="435"/>
      <c r="K69" s="435"/>
      <c r="L69" s="435">
        <v>5.0000000000000001E-4</v>
      </c>
      <c r="M69" s="435"/>
      <c r="N69" s="435"/>
      <c r="O69" s="435"/>
      <c r="P69" s="435"/>
      <c r="Q69" s="435"/>
      <c r="R69" s="435">
        <v>2.5000000000000001E-3</v>
      </c>
      <c r="S69" s="435"/>
      <c r="T69" s="435"/>
      <c r="U69" s="435"/>
      <c r="V69" s="435"/>
      <c r="W69" s="433">
        <v>6.5000000000000002E-2</v>
      </c>
      <c r="X69" s="18"/>
    </row>
    <row r="70" spans="1:24" x14ac:dyDescent="0.15">
      <c r="A70" s="436" t="s">
        <v>744</v>
      </c>
      <c r="B70" s="434"/>
      <c r="C70" s="432" t="s">
        <v>745</v>
      </c>
      <c r="D70" s="432" t="s">
        <v>745</v>
      </c>
      <c r="E70" s="431">
        <v>4.7E-2</v>
      </c>
      <c r="F70" s="430" t="s">
        <v>641</v>
      </c>
      <c r="G70" s="435">
        <v>0.01</v>
      </c>
      <c r="H70" s="435">
        <v>2.5000000000000001E-3</v>
      </c>
      <c r="I70" s="435">
        <v>2.5000000000000001E-3</v>
      </c>
      <c r="J70" s="435"/>
      <c r="K70" s="435"/>
      <c r="L70" s="435">
        <v>5.0000000000000001E-4</v>
      </c>
      <c r="M70" s="435"/>
      <c r="N70" s="435"/>
      <c r="O70" s="435"/>
      <c r="P70" s="435">
        <v>1E-3</v>
      </c>
      <c r="Q70" s="435"/>
      <c r="R70" s="435">
        <v>2.5000000000000001E-3</v>
      </c>
      <c r="S70" s="435"/>
      <c r="T70" s="435"/>
      <c r="U70" s="435"/>
      <c r="V70" s="435"/>
      <c r="W70" s="433">
        <v>6.6000000000000003E-2</v>
      </c>
      <c r="X70" s="18"/>
    </row>
    <row r="71" spans="1:24" x14ac:dyDescent="0.15">
      <c r="A71" s="436" t="s">
        <v>746</v>
      </c>
      <c r="B71" s="434"/>
      <c r="C71" s="432" t="s">
        <v>747</v>
      </c>
      <c r="D71" s="432" t="s">
        <v>747</v>
      </c>
      <c r="E71" s="431">
        <v>4.7E-2</v>
      </c>
      <c r="F71" s="430" t="s">
        <v>641</v>
      </c>
      <c r="G71" s="435">
        <v>0.01</v>
      </c>
      <c r="H71" s="435">
        <v>2.5000000000000001E-3</v>
      </c>
      <c r="I71" s="435">
        <v>2.5000000000000001E-3</v>
      </c>
      <c r="J71" s="435"/>
      <c r="K71" s="435"/>
      <c r="L71" s="435">
        <v>5.0000000000000001E-4</v>
      </c>
      <c r="M71" s="435"/>
      <c r="N71" s="435"/>
      <c r="O71" s="435"/>
      <c r="P71" s="435">
        <v>1E-3</v>
      </c>
      <c r="Q71" s="435"/>
      <c r="R71" s="435">
        <v>2.5000000000000001E-3</v>
      </c>
      <c r="S71" s="435"/>
      <c r="T71" s="435"/>
      <c r="U71" s="435"/>
      <c r="V71" s="435"/>
      <c r="W71" s="433">
        <v>6.6000000000000003E-2</v>
      </c>
      <c r="X71" s="18"/>
    </row>
    <row r="72" spans="1:24" x14ac:dyDescent="0.15">
      <c r="A72" s="436" t="s">
        <v>748</v>
      </c>
      <c r="B72" s="434"/>
      <c r="C72" s="432" t="s">
        <v>749</v>
      </c>
      <c r="D72" s="432" t="s">
        <v>743</v>
      </c>
      <c r="E72" s="431">
        <v>4.7E-2</v>
      </c>
      <c r="F72" s="430" t="s">
        <v>641</v>
      </c>
      <c r="G72" s="435">
        <v>0.01</v>
      </c>
      <c r="H72" s="435">
        <v>2.5000000000000001E-3</v>
      </c>
      <c r="I72" s="435">
        <v>2.5000000000000001E-3</v>
      </c>
      <c r="J72" s="435"/>
      <c r="K72" s="435"/>
      <c r="L72" s="435">
        <v>5.0000000000000001E-4</v>
      </c>
      <c r="M72" s="435"/>
      <c r="N72" s="435"/>
      <c r="O72" s="435"/>
      <c r="P72" s="435"/>
      <c r="Q72" s="435"/>
      <c r="R72" s="435">
        <v>2.5000000000000001E-3</v>
      </c>
      <c r="S72" s="435"/>
      <c r="T72" s="435"/>
      <c r="U72" s="435"/>
      <c r="V72" s="435"/>
      <c r="W72" s="433">
        <v>6.5000000000000002E-2</v>
      </c>
      <c r="X72" s="18"/>
    </row>
    <row r="73" spans="1:24" x14ac:dyDescent="0.15">
      <c r="A73" s="436" t="s">
        <v>750</v>
      </c>
      <c r="B73" s="434"/>
      <c r="C73" s="432" t="s">
        <v>751</v>
      </c>
      <c r="D73" s="432" t="s">
        <v>743</v>
      </c>
      <c r="E73" s="431">
        <v>4.7E-2</v>
      </c>
      <c r="F73" s="430" t="s">
        <v>641</v>
      </c>
      <c r="G73" s="435">
        <v>0.01</v>
      </c>
      <c r="H73" s="435">
        <v>2.5000000000000001E-3</v>
      </c>
      <c r="I73" s="435">
        <v>2.5000000000000001E-3</v>
      </c>
      <c r="J73" s="435"/>
      <c r="K73" s="435"/>
      <c r="L73" s="435">
        <v>5.0000000000000001E-4</v>
      </c>
      <c r="M73" s="435"/>
      <c r="N73" s="435"/>
      <c r="O73" s="435"/>
      <c r="P73" s="435"/>
      <c r="Q73" s="435"/>
      <c r="R73" s="435">
        <v>2.5000000000000001E-3</v>
      </c>
      <c r="S73" s="435"/>
      <c r="T73" s="435"/>
      <c r="U73" s="435"/>
      <c r="V73" s="435"/>
      <c r="W73" s="433">
        <v>6.5000000000000002E-2</v>
      </c>
      <c r="X73" s="18"/>
    </row>
    <row r="74" spans="1:24" x14ac:dyDescent="0.15">
      <c r="A74" s="436" t="s">
        <v>752</v>
      </c>
      <c r="B74" s="434"/>
      <c r="C74" s="432" t="s">
        <v>753</v>
      </c>
      <c r="D74" s="432" t="s">
        <v>743</v>
      </c>
      <c r="E74" s="431">
        <v>4.7E-2</v>
      </c>
      <c r="F74" s="430" t="s">
        <v>641</v>
      </c>
      <c r="G74" s="435">
        <v>0.01</v>
      </c>
      <c r="H74" s="435">
        <v>2.5000000000000001E-3</v>
      </c>
      <c r="I74" s="435">
        <v>2.5000000000000001E-3</v>
      </c>
      <c r="J74" s="435"/>
      <c r="K74" s="435"/>
      <c r="L74" s="435">
        <v>5.0000000000000001E-4</v>
      </c>
      <c r="M74" s="435"/>
      <c r="N74" s="435"/>
      <c r="O74" s="435"/>
      <c r="P74" s="435"/>
      <c r="Q74" s="435"/>
      <c r="R74" s="435">
        <v>2.5000000000000001E-3</v>
      </c>
      <c r="S74" s="435"/>
      <c r="T74" s="435"/>
      <c r="U74" s="435"/>
      <c r="V74" s="435"/>
      <c r="W74" s="433">
        <v>6.5000000000000002E-2</v>
      </c>
      <c r="X74" s="18"/>
    </row>
    <row r="75" spans="1:24" x14ac:dyDescent="0.15">
      <c r="A75" s="436" t="s">
        <v>754</v>
      </c>
      <c r="B75" s="434"/>
      <c r="C75" s="432" t="s">
        <v>755</v>
      </c>
      <c r="D75" s="432" t="s">
        <v>743</v>
      </c>
      <c r="E75" s="431">
        <v>4.7E-2</v>
      </c>
      <c r="F75" s="430" t="s">
        <v>641</v>
      </c>
      <c r="G75" s="435">
        <v>0.01</v>
      </c>
      <c r="H75" s="435">
        <v>2.5000000000000001E-3</v>
      </c>
      <c r="I75" s="435">
        <v>2.5000000000000001E-3</v>
      </c>
      <c r="J75" s="435"/>
      <c r="K75" s="435"/>
      <c r="L75" s="435">
        <v>5.0000000000000001E-4</v>
      </c>
      <c r="M75" s="435"/>
      <c r="N75" s="435"/>
      <c r="O75" s="435"/>
      <c r="P75" s="435"/>
      <c r="Q75" s="435"/>
      <c r="R75" s="435">
        <v>2.5000000000000001E-3</v>
      </c>
      <c r="S75" s="435"/>
      <c r="T75" s="435"/>
      <c r="U75" s="435"/>
      <c r="V75" s="435"/>
      <c r="W75" s="433">
        <v>6.5000000000000002E-2</v>
      </c>
      <c r="X75" s="18"/>
    </row>
    <row r="76" spans="1:24" x14ac:dyDescent="0.15">
      <c r="A76" s="436" t="s">
        <v>756</v>
      </c>
      <c r="B76" s="434"/>
      <c r="C76" s="432" t="s">
        <v>757</v>
      </c>
      <c r="D76" s="432" t="s">
        <v>743</v>
      </c>
      <c r="E76" s="431">
        <v>4.7E-2</v>
      </c>
      <c r="F76" s="430" t="s">
        <v>641</v>
      </c>
      <c r="G76" s="435">
        <v>0.01</v>
      </c>
      <c r="H76" s="435">
        <v>2.5000000000000001E-3</v>
      </c>
      <c r="I76" s="435">
        <v>2.5000000000000001E-3</v>
      </c>
      <c r="J76" s="435"/>
      <c r="K76" s="435"/>
      <c r="L76" s="435">
        <v>5.0000000000000001E-4</v>
      </c>
      <c r="M76" s="435"/>
      <c r="N76" s="435"/>
      <c r="O76" s="435"/>
      <c r="P76" s="435"/>
      <c r="Q76" s="435"/>
      <c r="R76" s="435">
        <v>2.5000000000000001E-3</v>
      </c>
      <c r="S76" s="435"/>
      <c r="T76" s="435"/>
      <c r="U76" s="435"/>
      <c r="V76" s="435"/>
      <c r="W76" s="433">
        <v>6.5000000000000002E-2</v>
      </c>
      <c r="X76" s="18"/>
    </row>
    <row r="77" spans="1:24" x14ac:dyDescent="0.15">
      <c r="A77" s="436" t="s">
        <v>603</v>
      </c>
      <c r="B77" s="434"/>
      <c r="C77" s="432" t="s">
        <v>758</v>
      </c>
      <c r="D77" s="432" t="s">
        <v>758</v>
      </c>
      <c r="E77" s="431">
        <v>4.7E-2</v>
      </c>
      <c r="F77" s="430" t="s">
        <v>641</v>
      </c>
      <c r="G77" s="435">
        <v>0.01</v>
      </c>
      <c r="H77" s="435">
        <v>2.5000000000000001E-3</v>
      </c>
      <c r="I77" s="435">
        <v>2.5000000000000001E-3</v>
      </c>
      <c r="J77" s="435"/>
      <c r="K77" s="435"/>
      <c r="L77" s="435">
        <v>5.0000000000000001E-4</v>
      </c>
      <c r="M77" s="435"/>
      <c r="N77" s="435"/>
      <c r="O77" s="435"/>
      <c r="P77" s="435">
        <v>1E-3</v>
      </c>
      <c r="Q77" s="435"/>
      <c r="R77" s="435">
        <v>2.5000000000000001E-3</v>
      </c>
      <c r="S77" s="435"/>
      <c r="T77" s="435"/>
      <c r="U77" s="435"/>
      <c r="V77" s="435"/>
      <c r="W77" s="433">
        <v>6.6000000000000003E-2</v>
      </c>
      <c r="X77" s="18"/>
    </row>
    <row r="78" spans="1:24" x14ac:dyDescent="0.15">
      <c r="A78" s="436" t="s">
        <v>759</v>
      </c>
      <c r="B78" s="434"/>
      <c r="C78" s="432" t="s">
        <v>760</v>
      </c>
      <c r="D78" s="432" t="s">
        <v>743</v>
      </c>
      <c r="E78" s="431">
        <v>4.7E-2</v>
      </c>
      <c r="F78" s="430" t="s">
        <v>641</v>
      </c>
      <c r="G78" s="435">
        <v>0.01</v>
      </c>
      <c r="H78" s="435">
        <v>2.5000000000000001E-3</v>
      </c>
      <c r="I78" s="435">
        <v>2.5000000000000001E-3</v>
      </c>
      <c r="J78" s="435"/>
      <c r="K78" s="435"/>
      <c r="L78" s="435">
        <v>5.0000000000000001E-4</v>
      </c>
      <c r="M78" s="435"/>
      <c r="N78" s="435"/>
      <c r="O78" s="435"/>
      <c r="P78" s="435"/>
      <c r="Q78" s="435"/>
      <c r="R78" s="435">
        <v>2.5000000000000001E-3</v>
      </c>
      <c r="S78" s="435"/>
      <c r="T78" s="435"/>
      <c r="U78" s="435"/>
      <c r="V78" s="435"/>
      <c r="W78" s="433">
        <v>6.5000000000000002E-2</v>
      </c>
      <c r="X78" s="18"/>
    </row>
    <row r="79" spans="1:24" x14ac:dyDescent="0.15">
      <c r="A79" s="436" t="s">
        <v>761</v>
      </c>
      <c r="B79" s="434"/>
      <c r="C79" s="432" t="s">
        <v>762</v>
      </c>
      <c r="D79" s="432" t="s">
        <v>743</v>
      </c>
      <c r="E79" s="431">
        <v>4.7E-2</v>
      </c>
      <c r="F79" s="430" t="s">
        <v>641</v>
      </c>
      <c r="G79" s="435">
        <v>0.01</v>
      </c>
      <c r="H79" s="435">
        <v>2.5000000000000001E-3</v>
      </c>
      <c r="I79" s="435">
        <v>2.5000000000000001E-3</v>
      </c>
      <c r="J79" s="435"/>
      <c r="K79" s="435"/>
      <c r="L79" s="435">
        <v>5.0000000000000001E-4</v>
      </c>
      <c r="M79" s="435"/>
      <c r="N79" s="435"/>
      <c r="O79" s="435"/>
      <c r="P79" s="435"/>
      <c r="Q79" s="435"/>
      <c r="R79" s="435">
        <v>2.5000000000000001E-3</v>
      </c>
      <c r="S79" s="435"/>
      <c r="T79" s="435"/>
      <c r="U79" s="435"/>
      <c r="V79" s="435"/>
      <c r="W79" s="433">
        <v>6.5000000000000002E-2</v>
      </c>
      <c r="X79" s="18"/>
    </row>
    <row r="80" spans="1:24" x14ac:dyDescent="0.15">
      <c r="A80" s="436" t="s">
        <v>763</v>
      </c>
      <c r="B80" s="434"/>
      <c r="C80" s="432" t="s">
        <v>764</v>
      </c>
      <c r="D80" s="432" t="s">
        <v>743</v>
      </c>
      <c r="E80" s="431">
        <v>4.7E-2</v>
      </c>
      <c r="F80" s="430" t="s">
        <v>641</v>
      </c>
      <c r="G80" s="435">
        <v>0.01</v>
      </c>
      <c r="H80" s="435">
        <v>2.5000000000000001E-3</v>
      </c>
      <c r="I80" s="435">
        <v>2.5000000000000001E-3</v>
      </c>
      <c r="J80" s="435"/>
      <c r="K80" s="435"/>
      <c r="L80" s="435">
        <v>5.0000000000000001E-4</v>
      </c>
      <c r="M80" s="435"/>
      <c r="N80" s="435"/>
      <c r="O80" s="435"/>
      <c r="P80" s="435"/>
      <c r="Q80" s="435"/>
      <c r="R80" s="435">
        <v>2.5000000000000001E-3</v>
      </c>
      <c r="S80" s="435"/>
      <c r="T80" s="435"/>
      <c r="U80" s="435"/>
      <c r="V80" s="435"/>
      <c r="W80" s="433">
        <v>6.5000000000000002E-2</v>
      </c>
      <c r="X80" s="18"/>
    </row>
    <row r="81" spans="1:24" x14ac:dyDescent="0.15">
      <c r="A81" s="436" t="s">
        <v>765</v>
      </c>
      <c r="B81" s="434"/>
      <c r="C81" s="432" t="s">
        <v>766</v>
      </c>
      <c r="D81" s="432" t="s">
        <v>743</v>
      </c>
      <c r="E81" s="431">
        <v>4.7E-2</v>
      </c>
      <c r="F81" s="430" t="s">
        <v>641</v>
      </c>
      <c r="G81" s="435">
        <v>0.01</v>
      </c>
      <c r="H81" s="435">
        <v>2.5000000000000001E-3</v>
      </c>
      <c r="I81" s="435">
        <v>2.5000000000000001E-3</v>
      </c>
      <c r="J81" s="435"/>
      <c r="K81" s="435"/>
      <c r="L81" s="435">
        <v>5.0000000000000001E-4</v>
      </c>
      <c r="M81" s="435"/>
      <c r="N81" s="435"/>
      <c r="O81" s="435"/>
      <c r="P81" s="435"/>
      <c r="Q81" s="435"/>
      <c r="R81" s="435">
        <v>2.5000000000000001E-3</v>
      </c>
      <c r="S81" s="435"/>
      <c r="T81" s="435"/>
      <c r="U81" s="435"/>
      <c r="V81" s="435"/>
      <c r="W81" s="433">
        <v>6.5000000000000002E-2</v>
      </c>
      <c r="X81" s="18"/>
    </row>
    <row r="82" spans="1:24" x14ac:dyDescent="0.15">
      <c r="A82" s="436" t="s">
        <v>35</v>
      </c>
      <c r="B82" s="434"/>
      <c r="C82" s="432" t="s">
        <v>767</v>
      </c>
      <c r="D82" s="432" t="s">
        <v>767</v>
      </c>
      <c r="E82" s="431">
        <v>4.7E-2</v>
      </c>
      <c r="F82" s="430" t="s">
        <v>641</v>
      </c>
      <c r="G82" s="435">
        <v>0.01</v>
      </c>
      <c r="H82" s="435">
        <v>2.5000000000000001E-3</v>
      </c>
      <c r="I82" s="435">
        <v>2.5000000000000001E-3</v>
      </c>
      <c r="J82" s="435"/>
      <c r="K82" s="435"/>
      <c r="L82" s="435">
        <v>5.0000000000000001E-4</v>
      </c>
      <c r="M82" s="435"/>
      <c r="N82" s="435"/>
      <c r="O82" s="435"/>
      <c r="P82" s="435">
        <v>1E-3</v>
      </c>
      <c r="Q82" s="435"/>
      <c r="R82" s="435">
        <v>2.5000000000000001E-3</v>
      </c>
      <c r="S82" s="435"/>
      <c r="T82" s="435"/>
      <c r="U82" s="435"/>
      <c r="V82" s="435"/>
      <c r="W82" s="433">
        <v>6.6000000000000003E-2</v>
      </c>
      <c r="X82" s="18"/>
    </row>
    <row r="83" spans="1:24" x14ac:dyDescent="0.15">
      <c r="A83" s="436" t="s">
        <v>768</v>
      </c>
      <c r="B83" s="434"/>
      <c r="C83" s="432" t="s">
        <v>769</v>
      </c>
      <c r="D83" s="432" t="s">
        <v>743</v>
      </c>
      <c r="E83" s="431">
        <v>4.7E-2</v>
      </c>
      <c r="F83" s="430" t="s">
        <v>641</v>
      </c>
      <c r="G83" s="435">
        <v>0.01</v>
      </c>
      <c r="H83" s="435">
        <v>2.5000000000000001E-3</v>
      </c>
      <c r="I83" s="435">
        <v>2.5000000000000001E-3</v>
      </c>
      <c r="J83" s="435"/>
      <c r="K83" s="435"/>
      <c r="L83" s="435">
        <v>5.0000000000000001E-4</v>
      </c>
      <c r="M83" s="435"/>
      <c r="N83" s="435"/>
      <c r="O83" s="435"/>
      <c r="P83" s="435"/>
      <c r="Q83" s="435"/>
      <c r="R83" s="435">
        <v>2.5000000000000001E-3</v>
      </c>
      <c r="S83" s="435"/>
      <c r="T83" s="435"/>
      <c r="U83" s="435"/>
      <c r="V83" s="435"/>
      <c r="W83" s="433">
        <v>6.5000000000000002E-2</v>
      </c>
      <c r="X83" s="18"/>
    </row>
    <row r="84" spans="1:24" x14ac:dyDescent="0.15">
      <c r="A84" s="436" t="s">
        <v>545</v>
      </c>
      <c r="B84" s="434"/>
      <c r="C84" s="432" t="s">
        <v>770</v>
      </c>
      <c r="D84" s="432" t="s">
        <v>770</v>
      </c>
      <c r="E84" s="431">
        <v>4.7E-2</v>
      </c>
      <c r="F84" s="430" t="s">
        <v>641</v>
      </c>
      <c r="G84" s="435">
        <v>0.01</v>
      </c>
      <c r="H84" s="435">
        <v>2.5000000000000001E-3</v>
      </c>
      <c r="I84" s="435">
        <v>2.5000000000000001E-3</v>
      </c>
      <c r="J84" s="435"/>
      <c r="K84" s="435"/>
      <c r="L84" s="435">
        <v>5.0000000000000001E-4</v>
      </c>
      <c r="M84" s="435"/>
      <c r="N84" s="435"/>
      <c r="O84" s="435"/>
      <c r="P84" s="435">
        <v>1E-3</v>
      </c>
      <c r="Q84" s="435"/>
      <c r="R84" s="435">
        <v>2.5000000000000001E-3</v>
      </c>
      <c r="S84" s="435"/>
      <c r="T84" s="435"/>
      <c r="U84" s="435"/>
      <c r="V84" s="435"/>
      <c r="W84" s="433">
        <v>6.6000000000000003E-2</v>
      </c>
      <c r="X84" s="18"/>
    </row>
    <row r="85" spans="1:24" x14ac:dyDescent="0.15">
      <c r="A85" s="436" t="s">
        <v>1329</v>
      </c>
      <c r="B85" s="528" t="s">
        <v>723</v>
      </c>
      <c r="C85" s="529" t="s">
        <v>1330</v>
      </c>
      <c r="D85" s="432">
        <v>0</v>
      </c>
      <c r="E85" s="431">
        <v>4.7E-2</v>
      </c>
      <c r="F85" s="430" t="s">
        <v>641</v>
      </c>
      <c r="G85" s="435">
        <v>0.01</v>
      </c>
      <c r="H85" s="435">
        <v>2.5000000000000001E-3</v>
      </c>
      <c r="I85" s="435">
        <v>2.5000000000000001E-3</v>
      </c>
      <c r="J85" s="435"/>
      <c r="K85" s="435"/>
      <c r="L85" s="435">
        <v>5.0000000000000001E-4</v>
      </c>
      <c r="M85" s="435"/>
      <c r="N85" s="435"/>
      <c r="O85" s="435"/>
      <c r="P85" s="435"/>
      <c r="Q85" s="435"/>
      <c r="R85" s="435">
        <v>2.5000000000000001E-3</v>
      </c>
      <c r="S85" s="435"/>
      <c r="T85" s="435"/>
      <c r="U85" s="435"/>
      <c r="V85" s="435"/>
      <c r="W85" s="433">
        <v>6.5000000000000002E-2</v>
      </c>
      <c r="X85" s="18"/>
    </row>
    <row r="86" spans="1:24" x14ac:dyDescent="0.15">
      <c r="A86" s="530" t="s">
        <v>1331</v>
      </c>
      <c r="B86" s="528" t="s">
        <v>723</v>
      </c>
      <c r="C86" s="529" t="s">
        <v>1332</v>
      </c>
      <c r="D86" s="432"/>
      <c r="E86" s="431">
        <v>4.7E-2</v>
      </c>
      <c r="F86" s="430" t="s">
        <v>641</v>
      </c>
      <c r="G86" s="435">
        <v>0.01</v>
      </c>
      <c r="H86" s="435">
        <v>2.5000000000000001E-3</v>
      </c>
      <c r="I86" s="435">
        <v>2.5000000000000001E-3</v>
      </c>
      <c r="J86" s="435"/>
      <c r="K86" s="435"/>
      <c r="L86" s="435">
        <v>5.0000000000000001E-4</v>
      </c>
      <c r="M86" s="435"/>
      <c r="N86" s="435"/>
      <c r="O86" s="435"/>
      <c r="P86" s="435"/>
      <c r="Q86" s="435"/>
      <c r="R86" s="435">
        <v>2.5000000000000001E-3</v>
      </c>
      <c r="S86" s="435"/>
      <c r="T86" s="435"/>
      <c r="U86" s="435"/>
      <c r="V86" s="435"/>
      <c r="W86" s="433">
        <v>6.5000000000000002E-2</v>
      </c>
      <c r="X86" s="18"/>
    </row>
    <row r="87" spans="1:24" x14ac:dyDescent="0.15">
      <c r="A87" s="530" t="s">
        <v>1333</v>
      </c>
      <c r="B87" s="528" t="s">
        <v>723</v>
      </c>
      <c r="C87" s="529" t="s">
        <v>1334</v>
      </c>
      <c r="D87" s="432"/>
      <c r="E87" s="431">
        <v>4.7E-2</v>
      </c>
      <c r="F87" s="430" t="s">
        <v>641</v>
      </c>
      <c r="G87" s="435">
        <v>0.01</v>
      </c>
      <c r="H87" s="435">
        <v>2.5000000000000001E-3</v>
      </c>
      <c r="I87" s="435">
        <v>2.5000000000000001E-3</v>
      </c>
      <c r="J87" s="435"/>
      <c r="K87" s="435"/>
      <c r="L87" s="435">
        <v>5.0000000000000001E-4</v>
      </c>
      <c r="M87" s="435"/>
      <c r="N87" s="435"/>
      <c r="O87" s="435"/>
      <c r="P87" s="435"/>
      <c r="Q87" s="435"/>
      <c r="R87" s="435">
        <v>2.5000000000000001E-3</v>
      </c>
      <c r="S87" s="435"/>
      <c r="T87" s="435"/>
      <c r="U87" s="435"/>
      <c r="V87" s="435"/>
      <c r="W87" s="433">
        <v>6.5000000000000002E-2</v>
      </c>
      <c r="X87" s="18"/>
    </row>
    <row r="88" spans="1:24" x14ac:dyDescent="0.15">
      <c r="A88" s="525"/>
      <c r="B88" s="526"/>
      <c r="C88" s="526"/>
      <c r="D88" s="526"/>
      <c r="E88" s="527"/>
      <c r="F88" s="527" t="s">
        <v>609</v>
      </c>
      <c r="G88" s="527"/>
      <c r="H88" s="527"/>
      <c r="I88" s="527"/>
      <c r="J88" s="527"/>
      <c r="K88" s="527"/>
      <c r="L88" s="527"/>
      <c r="M88" s="527"/>
      <c r="N88" s="527"/>
      <c r="O88" s="527"/>
      <c r="P88" s="527"/>
      <c r="Q88" s="527"/>
      <c r="R88" s="527"/>
      <c r="S88" s="527"/>
      <c r="T88" s="527"/>
      <c r="U88" s="527"/>
      <c r="V88" s="527"/>
      <c r="W88" s="527"/>
      <c r="X88" s="18"/>
    </row>
    <row r="89" spans="1:24" x14ac:dyDescent="0.15">
      <c r="A89" s="436" t="s">
        <v>771</v>
      </c>
      <c r="B89" s="434"/>
      <c r="C89" s="432" t="s">
        <v>772</v>
      </c>
      <c r="D89" s="432" t="s">
        <v>772</v>
      </c>
      <c r="E89" s="431">
        <v>4.7E-2</v>
      </c>
      <c r="F89" s="430" t="s">
        <v>641</v>
      </c>
      <c r="G89" s="435">
        <v>0.01</v>
      </c>
      <c r="H89" s="435"/>
      <c r="I89" s="435"/>
      <c r="J89" s="435"/>
      <c r="K89" s="435"/>
      <c r="L89" s="435"/>
      <c r="M89" s="435"/>
      <c r="N89" s="435"/>
      <c r="O89" s="435"/>
      <c r="P89" s="435"/>
      <c r="Q89" s="435"/>
      <c r="R89" s="435">
        <v>2.5000000000000001E-3</v>
      </c>
      <c r="S89" s="435"/>
      <c r="T89" s="435"/>
      <c r="U89" s="435"/>
      <c r="V89" s="435"/>
      <c r="W89" s="433">
        <v>5.9500000000000004E-2</v>
      </c>
      <c r="X89" s="18"/>
    </row>
    <row r="90" spans="1:24" x14ac:dyDescent="0.15">
      <c r="A90" s="436" t="s">
        <v>773</v>
      </c>
      <c r="B90" s="434"/>
      <c r="C90" s="432" t="s">
        <v>774</v>
      </c>
      <c r="D90" s="432" t="s">
        <v>772</v>
      </c>
      <c r="E90" s="431">
        <v>4.7E-2</v>
      </c>
      <c r="F90" s="430" t="s">
        <v>641</v>
      </c>
      <c r="G90" s="435">
        <v>0.01</v>
      </c>
      <c r="H90" s="435"/>
      <c r="I90" s="435"/>
      <c r="J90" s="435"/>
      <c r="K90" s="435"/>
      <c r="L90" s="435"/>
      <c r="M90" s="435"/>
      <c r="N90" s="435"/>
      <c r="O90" s="435"/>
      <c r="P90" s="435"/>
      <c r="Q90" s="435"/>
      <c r="R90" s="435">
        <v>2.5000000000000001E-3</v>
      </c>
      <c r="S90" s="435"/>
      <c r="T90" s="435"/>
      <c r="U90" s="435"/>
      <c r="V90" s="435"/>
      <c r="W90" s="433">
        <v>5.9500000000000004E-2</v>
      </c>
      <c r="X90" s="18"/>
    </row>
    <row r="91" spans="1:24" x14ac:dyDescent="0.15">
      <c r="A91" s="436" t="s">
        <v>775</v>
      </c>
      <c r="B91" s="434"/>
      <c r="C91" s="432" t="s">
        <v>776</v>
      </c>
      <c r="D91" s="432" t="s">
        <v>776</v>
      </c>
      <c r="E91" s="431">
        <v>4.7E-2</v>
      </c>
      <c r="F91" s="430" t="s">
        <v>641</v>
      </c>
      <c r="G91" s="435">
        <v>0.01</v>
      </c>
      <c r="H91" s="435"/>
      <c r="I91" s="435"/>
      <c r="J91" s="435"/>
      <c r="K91" s="435"/>
      <c r="L91" s="435"/>
      <c r="M91" s="435"/>
      <c r="N91" s="435"/>
      <c r="O91" s="435"/>
      <c r="P91" s="435">
        <v>1E-3</v>
      </c>
      <c r="Q91" s="435"/>
      <c r="R91" s="435">
        <v>2.5000000000000001E-3</v>
      </c>
      <c r="S91" s="435"/>
      <c r="T91" s="435"/>
      <c r="U91" s="435"/>
      <c r="V91" s="435"/>
      <c r="W91" s="433">
        <v>6.0500000000000005E-2</v>
      </c>
      <c r="X91" s="18"/>
    </row>
    <row r="92" spans="1:24" x14ac:dyDescent="0.15">
      <c r="A92" s="436" t="s">
        <v>777</v>
      </c>
      <c r="B92" s="434"/>
      <c r="C92" s="432" t="s">
        <v>778</v>
      </c>
      <c r="D92" s="432" t="s">
        <v>772</v>
      </c>
      <c r="E92" s="431">
        <v>4.7E-2</v>
      </c>
      <c r="F92" s="430" t="s">
        <v>641</v>
      </c>
      <c r="G92" s="435">
        <v>0.01</v>
      </c>
      <c r="H92" s="435"/>
      <c r="I92" s="435"/>
      <c r="J92" s="435"/>
      <c r="K92" s="435"/>
      <c r="L92" s="435"/>
      <c r="M92" s="435"/>
      <c r="N92" s="435"/>
      <c r="O92" s="435"/>
      <c r="P92" s="435"/>
      <c r="Q92" s="435"/>
      <c r="R92" s="435">
        <v>2.5000000000000001E-3</v>
      </c>
      <c r="S92" s="435"/>
      <c r="T92" s="435"/>
      <c r="U92" s="435"/>
      <c r="V92" s="435"/>
      <c r="W92" s="433">
        <v>5.9500000000000004E-2</v>
      </c>
      <c r="X92" s="18"/>
    </row>
    <row r="93" spans="1:24" x14ac:dyDescent="0.15">
      <c r="A93" s="436" t="s">
        <v>779</v>
      </c>
      <c r="B93" s="434"/>
      <c r="C93" s="432" t="s">
        <v>780</v>
      </c>
      <c r="D93" s="432" t="s">
        <v>780</v>
      </c>
      <c r="E93" s="431">
        <v>4.7E-2</v>
      </c>
      <c r="F93" s="430" t="s">
        <v>641</v>
      </c>
      <c r="G93" s="435">
        <v>0.01</v>
      </c>
      <c r="H93" s="435"/>
      <c r="I93" s="435"/>
      <c r="J93" s="435"/>
      <c r="K93" s="435"/>
      <c r="L93" s="435"/>
      <c r="M93" s="435"/>
      <c r="N93" s="435"/>
      <c r="O93" s="435"/>
      <c r="P93" s="435">
        <v>1E-3</v>
      </c>
      <c r="Q93" s="435">
        <v>3.0000000000000001E-3</v>
      </c>
      <c r="R93" s="435">
        <v>2.5000000000000001E-3</v>
      </c>
      <c r="S93" s="435"/>
      <c r="T93" s="435"/>
      <c r="U93" s="435"/>
      <c r="V93" s="435"/>
      <c r="W93" s="433">
        <v>6.3500000000000001E-2</v>
      </c>
      <c r="X93" s="18"/>
    </row>
    <row r="94" spans="1:24" x14ac:dyDescent="0.15">
      <c r="A94" s="436" t="s">
        <v>781</v>
      </c>
      <c r="B94" s="434"/>
      <c r="C94" s="432" t="s">
        <v>782</v>
      </c>
      <c r="D94" s="432" t="s">
        <v>772</v>
      </c>
      <c r="E94" s="431">
        <v>4.7E-2</v>
      </c>
      <c r="F94" s="430" t="s">
        <v>641</v>
      </c>
      <c r="G94" s="435">
        <v>0.01</v>
      </c>
      <c r="H94" s="435"/>
      <c r="I94" s="435"/>
      <c r="J94" s="435"/>
      <c r="K94" s="435"/>
      <c r="L94" s="435"/>
      <c r="M94" s="435"/>
      <c r="N94" s="435"/>
      <c r="O94" s="435"/>
      <c r="P94" s="435"/>
      <c r="Q94" s="435"/>
      <c r="R94" s="435">
        <v>2.5000000000000001E-3</v>
      </c>
      <c r="S94" s="435"/>
      <c r="T94" s="435"/>
      <c r="U94" s="435"/>
      <c r="V94" s="435"/>
      <c r="W94" s="433">
        <v>5.9500000000000004E-2</v>
      </c>
      <c r="X94" s="18"/>
    </row>
    <row r="95" spans="1:24" x14ac:dyDescent="0.15">
      <c r="A95" s="525"/>
      <c r="B95" s="526"/>
      <c r="C95" s="526"/>
      <c r="D95" s="526"/>
      <c r="E95" s="527"/>
      <c r="F95" s="527" t="s">
        <v>609</v>
      </c>
      <c r="G95" s="527"/>
      <c r="H95" s="527"/>
      <c r="I95" s="527"/>
      <c r="J95" s="527"/>
      <c r="K95" s="527"/>
      <c r="L95" s="527"/>
      <c r="M95" s="527"/>
      <c r="N95" s="527"/>
      <c r="O95" s="527"/>
      <c r="P95" s="527"/>
      <c r="Q95" s="527"/>
      <c r="R95" s="527"/>
      <c r="S95" s="527"/>
      <c r="T95" s="527"/>
      <c r="U95" s="527"/>
      <c r="V95" s="527"/>
      <c r="W95" s="527"/>
      <c r="X95" s="18"/>
    </row>
    <row r="96" spans="1:24" x14ac:dyDescent="0.15">
      <c r="A96" s="436" t="s">
        <v>783</v>
      </c>
      <c r="B96" s="434"/>
      <c r="C96" s="432" t="s">
        <v>784</v>
      </c>
      <c r="D96" s="432" t="s">
        <v>784</v>
      </c>
      <c r="E96" s="431">
        <v>4.7E-2</v>
      </c>
      <c r="F96" s="430" t="s">
        <v>641</v>
      </c>
      <c r="G96" s="435">
        <v>0.01</v>
      </c>
      <c r="H96" s="435"/>
      <c r="I96" s="435"/>
      <c r="J96" s="435"/>
      <c r="K96" s="435"/>
      <c r="L96" s="435"/>
      <c r="M96" s="435"/>
      <c r="N96" s="435"/>
      <c r="O96" s="435"/>
      <c r="P96" s="435"/>
      <c r="Q96" s="435"/>
      <c r="R96" s="435">
        <v>2.5000000000000001E-3</v>
      </c>
      <c r="S96" s="435"/>
      <c r="T96" s="435"/>
      <c r="U96" s="435"/>
      <c r="V96" s="435"/>
      <c r="W96" s="433">
        <v>5.9500000000000004E-2</v>
      </c>
      <c r="X96" s="18"/>
    </row>
    <row r="97" spans="1:24" x14ac:dyDescent="0.15">
      <c r="A97" s="436" t="s">
        <v>785</v>
      </c>
      <c r="B97" s="434"/>
      <c r="C97" s="432" t="s">
        <v>786</v>
      </c>
      <c r="D97" s="432" t="s">
        <v>784</v>
      </c>
      <c r="E97" s="431">
        <v>4.7E-2</v>
      </c>
      <c r="F97" s="430" t="s">
        <v>641</v>
      </c>
      <c r="G97" s="435">
        <v>0.01</v>
      </c>
      <c r="H97" s="435"/>
      <c r="I97" s="435"/>
      <c r="J97" s="435"/>
      <c r="K97" s="435"/>
      <c r="L97" s="435"/>
      <c r="M97" s="435"/>
      <c r="N97" s="435"/>
      <c r="O97" s="435"/>
      <c r="P97" s="435"/>
      <c r="Q97" s="435"/>
      <c r="R97" s="435">
        <v>2.5000000000000001E-3</v>
      </c>
      <c r="S97" s="435"/>
      <c r="T97" s="435"/>
      <c r="U97" s="435"/>
      <c r="V97" s="435"/>
      <c r="W97" s="433">
        <v>5.9500000000000004E-2</v>
      </c>
      <c r="X97" s="18"/>
    </row>
    <row r="98" spans="1:24" x14ac:dyDescent="0.15">
      <c r="A98" s="436" t="s">
        <v>787</v>
      </c>
      <c r="B98" s="434"/>
      <c r="C98" s="432" t="s">
        <v>788</v>
      </c>
      <c r="D98" s="432" t="s">
        <v>784</v>
      </c>
      <c r="E98" s="431">
        <v>4.7E-2</v>
      </c>
      <c r="F98" s="430" t="s">
        <v>641</v>
      </c>
      <c r="G98" s="435">
        <v>0.01</v>
      </c>
      <c r="H98" s="435"/>
      <c r="I98" s="435"/>
      <c r="J98" s="435"/>
      <c r="K98" s="435"/>
      <c r="L98" s="435"/>
      <c r="M98" s="435"/>
      <c r="N98" s="435"/>
      <c r="O98" s="435"/>
      <c r="P98" s="435"/>
      <c r="Q98" s="435"/>
      <c r="R98" s="435">
        <v>2.5000000000000001E-3</v>
      </c>
      <c r="S98" s="435"/>
      <c r="T98" s="435"/>
      <c r="U98" s="435"/>
      <c r="V98" s="435"/>
      <c r="W98" s="433">
        <v>5.9500000000000004E-2</v>
      </c>
      <c r="X98" s="18"/>
    </row>
    <row r="99" spans="1:24" x14ac:dyDescent="0.15">
      <c r="A99" s="436" t="s">
        <v>789</v>
      </c>
      <c r="B99" s="434"/>
      <c r="C99" s="432" t="s">
        <v>790</v>
      </c>
      <c r="D99" s="432" t="s">
        <v>784</v>
      </c>
      <c r="E99" s="431">
        <v>4.7E-2</v>
      </c>
      <c r="F99" s="430" t="s">
        <v>641</v>
      </c>
      <c r="G99" s="435">
        <v>0.01</v>
      </c>
      <c r="H99" s="435"/>
      <c r="I99" s="435"/>
      <c r="J99" s="435"/>
      <c r="K99" s="435"/>
      <c r="L99" s="435"/>
      <c r="M99" s="435"/>
      <c r="N99" s="435"/>
      <c r="O99" s="435"/>
      <c r="P99" s="435"/>
      <c r="Q99" s="435"/>
      <c r="R99" s="435">
        <v>2.5000000000000001E-3</v>
      </c>
      <c r="S99" s="435"/>
      <c r="T99" s="435"/>
      <c r="U99" s="435"/>
      <c r="V99" s="435"/>
      <c r="W99" s="433">
        <v>5.9500000000000004E-2</v>
      </c>
      <c r="X99" s="18"/>
    </row>
    <row r="100" spans="1:24" x14ac:dyDescent="0.15">
      <c r="A100" s="436" t="s">
        <v>791</v>
      </c>
      <c r="B100" s="434"/>
      <c r="C100" s="432" t="s">
        <v>792</v>
      </c>
      <c r="D100" s="432" t="s">
        <v>784</v>
      </c>
      <c r="E100" s="431">
        <v>4.7E-2</v>
      </c>
      <c r="F100" s="430" t="s">
        <v>641</v>
      </c>
      <c r="G100" s="435">
        <v>0.01</v>
      </c>
      <c r="H100" s="435"/>
      <c r="I100" s="435"/>
      <c r="J100" s="435"/>
      <c r="K100" s="435"/>
      <c r="L100" s="435"/>
      <c r="M100" s="435"/>
      <c r="N100" s="435"/>
      <c r="O100" s="435"/>
      <c r="P100" s="435"/>
      <c r="Q100" s="435"/>
      <c r="R100" s="435">
        <v>2.5000000000000001E-3</v>
      </c>
      <c r="S100" s="435"/>
      <c r="T100" s="435"/>
      <c r="U100" s="435"/>
      <c r="V100" s="435"/>
      <c r="W100" s="433">
        <v>5.9500000000000004E-2</v>
      </c>
      <c r="X100" s="18"/>
    </row>
    <row r="101" spans="1:24" x14ac:dyDescent="0.15">
      <c r="A101" s="436" t="s">
        <v>793</v>
      </c>
      <c r="B101" s="434"/>
      <c r="C101" s="432" t="s">
        <v>794</v>
      </c>
      <c r="D101" s="432" t="s">
        <v>784</v>
      </c>
      <c r="E101" s="431">
        <v>4.7E-2</v>
      </c>
      <c r="F101" s="430" t="s">
        <v>641</v>
      </c>
      <c r="G101" s="435">
        <v>0.01</v>
      </c>
      <c r="H101" s="435"/>
      <c r="I101" s="435"/>
      <c r="J101" s="435"/>
      <c r="K101" s="435"/>
      <c r="L101" s="435"/>
      <c r="M101" s="435"/>
      <c r="N101" s="435"/>
      <c r="O101" s="435"/>
      <c r="P101" s="435"/>
      <c r="Q101" s="435"/>
      <c r="R101" s="435">
        <v>2.5000000000000001E-3</v>
      </c>
      <c r="S101" s="435"/>
      <c r="T101" s="435"/>
      <c r="U101" s="435"/>
      <c r="V101" s="435"/>
      <c r="W101" s="433">
        <v>5.9500000000000004E-2</v>
      </c>
      <c r="X101" s="18"/>
    </row>
    <row r="102" spans="1:24" x14ac:dyDescent="0.15">
      <c r="A102" s="436" t="s">
        <v>795</v>
      </c>
      <c r="B102" s="434"/>
      <c r="C102" s="432" t="s">
        <v>796</v>
      </c>
      <c r="D102" s="432" t="s">
        <v>784</v>
      </c>
      <c r="E102" s="431">
        <v>4.7E-2</v>
      </c>
      <c r="F102" s="430" t="s">
        <v>641</v>
      </c>
      <c r="G102" s="435">
        <v>0.01</v>
      </c>
      <c r="H102" s="435"/>
      <c r="I102" s="435"/>
      <c r="J102" s="435"/>
      <c r="K102" s="435"/>
      <c r="L102" s="435"/>
      <c r="M102" s="435"/>
      <c r="N102" s="435"/>
      <c r="O102" s="435"/>
      <c r="P102" s="435"/>
      <c r="Q102" s="435"/>
      <c r="R102" s="435">
        <v>2.5000000000000001E-3</v>
      </c>
      <c r="S102" s="435"/>
      <c r="T102" s="435"/>
      <c r="U102" s="435"/>
      <c r="V102" s="435"/>
      <c r="W102" s="433">
        <v>5.9500000000000004E-2</v>
      </c>
      <c r="X102" s="18"/>
    </row>
    <row r="103" spans="1:24" x14ac:dyDescent="0.15">
      <c r="A103" s="436" t="s">
        <v>797</v>
      </c>
      <c r="B103" s="434"/>
      <c r="C103" s="432" t="s">
        <v>798</v>
      </c>
      <c r="D103" s="432" t="s">
        <v>798</v>
      </c>
      <c r="E103" s="431">
        <v>4.7E-2</v>
      </c>
      <c r="F103" s="430" t="s">
        <v>641</v>
      </c>
      <c r="G103" s="435">
        <v>0.01</v>
      </c>
      <c r="H103" s="435"/>
      <c r="I103" s="435"/>
      <c r="J103" s="435"/>
      <c r="K103" s="435"/>
      <c r="L103" s="435"/>
      <c r="M103" s="435"/>
      <c r="N103" s="435"/>
      <c r="O103" s="435"/>
      <c r="P103" s="435"/>
      <c r="Q103" s="435">
        <v>3.0000000000000001E-3</v>
      </c>
      <c r="R103" s="435">
        <v>2.5000000000000001E-3</v>
      </c>
      <c r="S103" s="435"/>
      <c r="T103" s="435"/>
      <c r="U103" s="435">
        <v>0.01</v>
      </c>
      <c r="V103" s="435">
        <v>5.0000000000000001E-3</v>
      </c>
      <c r="W103" s="433">
        <v>7.7499999999999999E-2</v>
      </c>
      <c r="X103" s="18"/>
    </row>
    <row r="104" spans="1:24" x14ac:dyDescent="0.15">
      <c r="A104" s="436" t="s">
        <v>799</v>
      </c>
      <c r="B104" s="434"/>
      <c r="C104" s="432" t="s">
        <v>800</v>
      </c>
      <c r="D104" s="432" t="s">
        <v>784</v>
      </c>
      <c r="E104" s="431">
        <v>4.7E-2</v>
      </c>
      <c r="F104" s="430" t="s">
        <v>641</v>
      </c>
      <c r="G104" s="435">
        <v>0.01</v>
      </c>
      <c r="H104" s="435"/>
      <c r="I104" s="435"/>
      <c r="J104" s="435"/>
      <c r="K104" s="435"/>
      <c r="L104" s="435"/>
      <c r="M104" s="435"/>
      <c r="N104" s="435"/>
      <c r="O104" s="435"/>
      <c r="P104" s="435"/>
      <c r="Q104" s="435"/>
      <c r="R104" s="435">
        <v>2.5000000000000001E-3</v>
      </c>
      <c r="S104" s="435"/>
      <c r="T104" s="435"/>
      <c r="U104" s="435"/>
      <c r="V104" s="435"/>
      <c r="W104" s="433">
        <v>5.9500000000000004E-2</v>
      </c>
      <c r="X104" s="18"/>
    </row>
    <row r="105" spans="1:24" x14ac:dyDescent="0.15">
      <c r="A105" s="436" t="s">
        <v>801</v>
      </c>
      <c r="B105" s="434"/>
      <c r="C105" s="432" t="s">
        <v>802</v>
      </c>
      <c r="D105" s="432" t="s">
        <v>784</v>
      </c>
      <c r="E105" s="431">
        <v>4.7E-2</v>
      </c>
      <c r="F105" s="430" t="s">
        <v>641</v>
      </c>
      <c r="G105" s="435">
        <v>0.01</v>
      </c>
      <c r="H105" s="435"/>
      <c r="I105" s="435"/>
      <c r="J105" s="435"/>
      <c r="K105" s="435"/>
      <c r="L105" s="435"/>
      <c r="M105" s="435"/>
      <c r="N105" s="435"/>
      <c r="O105" s="435"/>
      <c r="P105" s="435"/>
      <c r="Q105" s="435"/>
      <c r="R105" s="435">
        <v>2.5000000000000001E-3</v>
      </c>
      <c r="S105" s="435"/>
      <c r="T105" s="435"/>
      <c r="U105" s="435"/>
      <c r="V105" s="435"/>
      <c r="W105" s="433">
        <v>5.9500000000000004E-2</v>
      </c>
      <c r="X105" s="18"/>
    </row>
    <row r="106" spans="1:24" x14ac:dyDescent="0.15">
      <c r="A106" s="525"/>
      <c r="B106" s="526"/>
      <c r="C106" s="526"/>
      <c r="D106" s="526"/>
      <c r="E106" s="527"/>
      <c r="F106" s="527" t="s">
        <v>609</v>
      </c>
      <c r="G106" s="527"/>
      <c r="H106" s="527"/>
      <c r="I106" s="527"/>
      <c r="J106" s="527"/>
      <c r="K106" s="527"/>
      <c r="L106" s="527"/>
      <c r="M106" s="527"/>
      <c r="N106" s="527"/>
      <c r="O106" s="527"/>
      <c r="P106" s="527"/>
      <c r="Q106" s="527"/>
      <c r="R106" s="527"/>
      <c r="S106" s="527"/>
      <c r="T106" s="527"/>
      <c r="U106" s="527"/>
      <c r="V106" s="527"/>
      <c r="W106" s="527"/>
      <c r="X106" s="18"/>
    </row>
    <row r="107" spans="1:24" x14ac:dyDescent="0.15">
      <c r="A107" s="436" t="s">
        <v>803</v>
      </c>
      <c r="B107" s="434"/>
      <c r="C107" s="432" t="s">
        <v>804</v>
      </c>
      <c r="D107" s="432" t="s">
        <v>804</v>
      </c>
      <c r="E107" s="431">
        <v>4.7E-2</v>
      </c>
      <c r="F107" s="430" t="s">
        <v>641</v>
      </c>
      <c r="G107" s="435">
        <v>0.01</v>
      </c>
      <c r="H107" s="435"/>
      <c r="I107" s="435"/>
      <c r="J107" s="435"/>
      <c r="K107" s="435"/>
      <c r="L107" s="435"/>
      <c r="M107" s="435"/>
      <c r="N107" s="435">
        <v>0.01</v>
      </c>
      <c r="O107" s="435"/>
      <c r="P107" s="435"/>
      <c r="Q107" s="435"/>
      <c r="R107" s="435">
        <v>2.5000000000000001E-3</v>
      </c>
      <c r="S107" s="435"/>
      <c r="T107" s="435"/>
      <c r="U107" s="435"/>
      <c r="V107" s="435"/>
      <c r="W107" s="433">
        <v>6.9500000000000006E-2</v>
      </c>
      <c r="X107" s="18"/>
    </row>
    <row r="108" spans="1:24" x14ac:dyDescent="0.15">
      <c r="A108" s="436" t="s">
        <v>805</v>
      </c>
      <c r="B108" s="434"/>
      <c r="C108" s="432" t="s">
        <v>806</v>
      </c>
      <c r="D108" s="432" t="s">
        <v>804</v>
      </c>
      <c r="E108" s="431">
        <v>4.7E-2</v>
      </c>
      <c r="F108" s="430" t="s">
        <v>641</v>
      </c>
      <c r="G108" s="435">
        <v>0.01</v>
      </c>
      <c r="H108" s="435"/>
      <c r="I108" s="435"/>
      <c r="J108" s="435"/>
      <c r="K108" s="435"/>
      <c r="L108" s="435"/>
      <c r="M108" s="435"/>
      <c r="N108" s="435">
        <v>0.01</v>
      </c>
      <c r="O108" s="435"/>
      <c r="P108" s="435"/>
      <c r="Q108" s="435"/>
      <c r="R108" s="435">
        <v>2.5000000000000001E-3</v>
      </c>
      <c r="S108" s="435"/>
      <c r="T108" s="435"/>
      <c r="U108" s="435"/>
      <c r="V108" s="435"/>
      <c r="W108" s="433">
        <v>6.9500000000000006E-2</v>
      </c>
      <c r="X108" s="18"/>
    </row>
    <row r="109" spans="1:24" x14ac:dyDescent="0.15">
      <c r="A109" s="436" t="s">
        <v>807</v>
      </c>
      <c r="B109" s="434"/>
      <c r="C109" s="432" t="s">
        <v>808</v>
      </c>
      <c r="D109" s="432" t="s">
        <v>808</v>
      </c>
      <c r="E109" s="431">
        <v>4.7E-2</v>
      </c>
      <c r="F109" s="430" t="s">
        <v>641</v>
      </c>
      <c r="G109" s="435">
        <v>0.01</v>
      </c>
      <c r="H109" s="435"/>
      <c r="I109" s="435"/>
      <c r="J109" s="435"/>
      <c r="K109" s="435"/>
      <c r="L109" s="435"/>
      <c r="M109" s="435"/>
      <c r="N109" s="435">
        <v>0.01</v>
      </c>
      <c r="O109" s="435"/>
      <c r="P109" s="435"/>
      <c r="Q109" s="435"/>
      <c r="R109" s="435">
        <v>2.5000000000000001E-3</v>
      </c>
      <c r="S109" s="435"/>
      <c r="T109" s="435"/>
      <c r="U109" s="435">
        <v>0.01</v>
      </c>
      <c r="V109" s="435"/>
      <c r="W109" s="433">
        <v>7.9500000000000001E-2</v>
      </c>
      <c r="X109" s="18"/>
    </row>
    <row r="110" spans="1:24" x14ac:dyDescent="0.15">
      <c r="A110" s="436" t="s">
        <v>809</v>
      </c>
      <c r="B110" s="434"/>
      <c r="C110" s="432" t="s">
        <v>810</v>
      </c>
      <c r="D110" s="432" t="s">
        <v>810</v>
      </c>
      <c r="E110" s="431">
        <v>4.7E-2</v>
      </c>
      <c r="F110" s="430" t="s">
        <v>641</v>
      </c>
      <c r="G110" s="435">
        <v>0.01</v>
      </c>
      <c r="H110" s="435"/>
      <c r="I110" s="435"/>
      <c r="J110" s="435"/>
      <c r="K110" s="435"/>
      <c r="L110" s="435"/>
      <c r="M110" s="435"/>
      <c r="N110" s="435">
        <v>0.01</v>
      </c>
      <c r="O110" s="435"/>
      <c r="P110" s="435"/>
      <c r="Q110" s="435"/>
      <c r="R110" s="435">
        <v>2.5000000000000001E-3</v>
      </c>
      <c r="S110" s="435"/>
      <c r="T110" s="435"/>
      <c r="U110" s="435">
        <v>1.0999999999999999E-2</v>
      </c>
      <c r="V110" s="435"/>
      <c r="W110" s="433">
        <v>8.0500000000000002E-2</v>
      </c>
      <c r="X110" s="18"/>
    </row>
    <row r="111" spans="1:24" x14ac:dyDescent="0.15">
      <c r="A111" s="436" t="s">
        <v>811</v>
      </c>
      <c r="B111" s="434"/>
      <c r="C111" s="432" t="s">
        <v>812</v>
      </c>
      <c r="D111" s="432" t="s">
        <v>804</v>
      </c>
      <c r="E111" s="431">
        <v>4.7E-2</v>
      </c>
      <c r="F111" s="430" t="s">
        <v>641</v>
      </c>
      <c r="G111" s="435">
        <v>0.01</v>
      </c>
      <c r="H111" s="435"/>
      <c r="I111" s="435"/>
      <c r="J111" s="435"/>
      <c r="K111" s="435"/>
      <c r="L111" s="435"/>
      <c r="M111" s="435"/>
      <c r="N111" s="435">
        <v>0.01</v>
      </c>
      <c r="O111" s="435"/>
      <c r="P111" s="435"/>
      <c r="Q111" s="435"/>
      <c r="R111" s="435">
        <v>2.5000000000000001E-3</v>
      </c>
      <c r="S111" s="435"/>
      <c r="T111" s="435"/>
      <c r="U111" s="435"/>
      <c r="V111" s="435"/>
      <c r="W111" s="433">
        <v>6.9500000000000006E-2</v>
      </c>
      <c r="X111" s="18"/>
    </row>
    <row r="112" spans="1:24" x14ac:dyDescent="0.15">
      <c r="A112" s="436" t="s">
        <v>813</v>
      </c>
      <c r="B112" s="434"/>
      <c r="C112" s="432" t="s">
        <v>814</v>
      </c>
      <c r="D112" s="432" t="s">
        <v>804</v>
      </c>
      <c r="E112" s="431">
        <v>4.7E-2</v>
      </c>
      <c r="F112" s="430" t="s">
        <v>641</v>
      </c>
      <c r="G112" s="435">
        <v>0.01</v>
      </c>
      <c r="H112" s="435"/>
      <c r="I112" s="435"/>
      <c r="J112" s="435"/>
      <c r="K112" s="435"/>
      <c r="L112" s="435"/>
      <c r="M112" s="435"/>
      <c r="N112" s="435">
        <v>0.01</v>
      </c>
      <c r="O112" s="435"/>
      <c r="P112" s="435"/>
      <c r="Q112" s="435"/>
      <c r="R112" s="435">
        <v>2.5000000000000001E-3</v>
      </c>
      <c r="S112" s="435"/>
      <c r="T112" s="435"/>
      <c r="U112" s="435"/>
      <c r="V112" s="435"/>
      <c r="W112" s="433">
        <v>6.9500000000000006E-2</v>
      </c>
      <c r="X112" s="18"/>
    </row>
    <row r="113" spans="1:24" x14ac:dyDescent="0.15">
      <c r="A113" s="436" t="s">
        <v>815</v>
      </c>
      <c r="B113" s="434"/>
      <c r="C113" s="432" t="s">
        <v>816</v>
      </c>
      <c r="D113" s="432" t="s">
        <v>804</v>
      </c>
      <c r="E113" s="431">
        <v>4.7E-2</v>
      </c>
      <c r="F113" s="430" t="s">
        <v>641</v>
      </c>
      <c r="G113" s="435">
        <v>0.01</v>
      </c>
      <c r="H113" s="435"/>
      <c r="I113" s="435"/>
      <c r="J113" s="435"/>
      <c r="K113" s="435"/>
      <c r="L113" s="435"/>
      <c r="M113" s="435"/>
      <c r="N113" s="435">
        <v>0.01</v>
      </c>
      <c r="O113" s="435"/>
      <c r="P113" s="435"/>
      <c r="Q113" s="435"/>
      <c r="R113" s="435">
        <v>2.5000000000000001E-3</v>
      </c>
      <c r="S113" s="435"/>
      <c r="T113" s="435"/>
      <c r="U113" s="435"/>
      <c r="V113" s="435"/>
      <c r="W113" s="433">
        <v>6.9500000000000006E-2</v>
      </c>
      <c r="X113" s="18"/>
    </row>
    <row r="114" spans="1:24" x14ac:dyDescent="0.15">
      <c r="A114" s="436" t="s">
        <v>817</v>
      </c>
      <c r="B114" s="434"/>
      <c r="C114" s="432" t="s">
        <v>818</v>
      </c>
      <c r="D114" s="432" t="s">
        <v>804</v>
      </c>
      <c r="E114" s="431">
        <v>4.7E-2</v>
      </c>
      <c r="F114" s="430" t="s">
        <v>641</v>
      </c>
      <c r="G114" s="435">
        <v>0.01</v>
      </c>
      <c r="H114" s="435"/>
      <c r="I114" s="435"/>
      <c r="J114" s="435"/>
      <c r="K114" s="435"/>
      <c r="L114" s="435"/>
      <c r="M114" s="435"/>
      <c r="N114" s="435">
        <v>0.01</v>
      </c>
      <c r="O114" s="435"/>
      <c r="P114" s="435"/>
      <c r="Q114" s="435"/>
      <c r="R114" s="435">
        <v>2.5000000000000001E-3</v>
      </c>
      <c r="S114" s="435"/>
      <c r="T114" s="435"/>
      <c r="U114" s="435"/>
      <c r="V114" s="435"/>
      <c r="W114" s="433">
        <v>6.9500000000000006E-2</v>
      </c>
      <c r="X114" s="18"/>
    </row>
    <row r="115" spans="1:24" x14ac:dyDescent="0.15">
      <c r="A115" s="436" t="s">
        <v>819</v>
      </c>
      <c r="B115" s="434"/>
      <c r="C115" s="432" t="s">
        <v>820</v>
      </c>
      <c r="D115" s="432" t="s">
        <v>820</v>
      </c>
      <c r="E115" s="431">
        <v>4.7E-2</v>
      </c>
      <c r="F115" s="430" t="s">
        <v>641</v>
      </c>
      <c r="G115" s="435">
        <v>0.01</v>
      </c>
      <c r="H115" s="435"/>
      <c r="I115" s="435"/>
      <c r="J115" s="435"/>
      <c r="K115" s="435"/>
      <c r="L115" s="435"/>
      <c r="M115" s="435"/>
      <c r="N115" s="435">
        <v>0.01</v>
      </c>
      <c r="O115" s="435"/>
      <c r="P115" s="435"/>
      <c r="Q115" s="435"/>
      <c r="R115" s="435">
        <v>2.5000000000000001E-3</v>
      </c>
      <c r="S115" s="435"/>
      <c r="T115" s="435"/>
      <c r="U115" s="435">
        <v>0.01</v>
      </c>
      <c r="V115" s="435"/>
      <c r="W115" s="433">
        <v>7.9500000000000001E-2</v>
      </c>
      <c r="X115" s="18"/>
    </row>
    <row r="116" spans="1:24" x14ac:dyDescent="0.15">
      <c r="A116" s="436" t="s">
        <v>821</v>
      </c>
      <c r="B116" s="434"/>
      <c r="C116" s="432" t="s">
        <v>822</v>
      </c>
      <c r="D116" s="432" t="s">
        <v>822</v>
      </c>
      <c r="E116" s="431">
        <v>4.7E-2</v>
      </c>
      <c r="F116" s="430" t="s">
        <v>641</v>
      </c>
      <c r="G116" s="435">
        <v>0.01</v>
      </c>
      <c r="H116" s="435"/>
      <c r="I116" s="435"/>
      <c r="J116" s="435"/>
      <c r="K116" s="435"/>
      <c r="L116" s="435"/>
      <c r="M116" s="435"/>
      <c r="N116" s="435">
        <v>0.01</v>
      </c>
      <c r="O116" s="435"/>
      <c r="P116" s="435"/>
      <c r="Q116" s="435"/>
      <c r="R116" s="435">
        <v>2.5000000000000001E-3</v>
      </c>
      <c r="S116" s="435"/>
      <c r="T116" s="435"/>
      <c r="U116" s="435">
        <v>0.01</v>
      </c>
      <c r="V116" s="435"/>
      <c r="W116" s="433">
        <v>7.9500000000000001E-2</v>
      </c>
      <c r="X116" s="18"/>
    </row>
    <row r="117" spans="1:24" x14ac:dyDescent="0.15">
      <c r="A117" s="525"/>
      <c r="B117" s="526"/>
      <c r="C117" s="526"/>
      <c r="D117" s="526"/>
      <c r="E117" s="527"/>
      <c r="F117" s="527" t="s">
        <v>609</v>
      </c>
      <c r="G117" s="527"/>
      <c r="H117" s="527"/>
      <c r="I117" s="527"/>
      <c r="J117" s="527"/>
      <c r="K117" s="527"/>
      <c r="L117" s="527"/>
      <c r="M117" s="527"/>
      <c r="N117" s="527"/>
      <c r="O117" s="527"/>
      <c r="P117" s="527"/>
      <c r="Q117" s="527"/>
      <c r="R117" s="527"/>
      <c r="S117" s="527"/>
      <c r="T117" s="527"/>
      <c r="U117" s="527"/>
      <c r="V117" s="527"/>
      <c r="W117" s="527"/>
      <c r="X117" s="18"/>
    </row>
    <row r="118" spans="1:24" x14ac:dyDescent="0.15">
      <c r="A118" s="436" t="s">
        <v>823</v>
      </c>
      <c r="B118" s="434"/>
      <c r="C118" s="432" t="s">
        <v>824</v>
      </c>
      <c r="D118" s="432" t="s">
        <v>824</v>
      </c>
      <c r="E118" s="431">
        <v>4.7E-2</v>
      </c>
      <c r="F118" s="430" t="s">
        <v>641</v>
      </c>
      <c r="G118" s="435">
        <v>0.01</v>
      </c>
      <c r="H118" s="435"/>
      <c r="I118" s="435"/>
      <c r="J118" s="435"/>
      <c r="K118" s="435"/>
      <c r="L118" s="435"/>
      <c r="M118" s="435"/>
      <c r="N118" s="435"/>
      <c r="O118" s="435"/>
      <c r="P118" s="435"/>
      <c r="Q118" s="435"/>
      <c r="R118" s="435">
        <v>2.5000000000000001E-3</v>
      </c>
      <c r="S118" s="435"/>
      <c r="T118" s="435"/>
      <c r="U118" s="435"/>
      <c r="V118" s="435"/>
      <c r="W118" s="433">
        <v>5.9500000000000004E-2</v>
      </c>
      <c r="X118" s="18"/>
    </row>
    <row r="119" spans="1:24" x14ac:dyDescent="0.15">
      <c r="A119" s="436" t="s">
        <v>825</v>
      </c>
      <c r="B119" s="434"/>
      <c r="C119" s="529" t="s">
        <v>826</v>
      </c>
      <c r="D119" s="529" t="s">
        <v>824</v>
      </c>
      <c r="E119" s="431">
        <v>4.7E-2</v>
      </c>
      <c r="F119" s="430" t="s">
        <v>641</v>
      </c>
      <c r="G119" s="435">
        <v>0.01</v>
      </c>
      <c r="H119" s="435"/>
      <c r="I119" s="435"/>
      <c r="J119" s="435"/>
      <c r="K119" s="435"/>
      <c r="L119" s="435"/>
      <c r="M119" s="435"/>
      <c r="N119" s="435"/>
      <c r="O119" s="435"/>
      <c r="P119" s="435"/>
      <c r="Q119" s="435"/>
      <c r="R119" s="435">
        <v>2.5000000000000001E-3</v>
      </c>
      <c r="S119" s="435"/>
      <c r="T119" s="435"/>
      <c r="U119" s="435"/>
      <c r="V119" s="435"/>
      <c r="W119" s="433">
        <v>5.9500000000000004E-2</v>
      </c>
      <c r="X119" s="18"/>
    </row>
    <row r="120" spans="1:24" x14ac:dyDescent="0.15">
      <c r="A120" s="436" t="s">
        <v>827</v>
      </c>
      <c r="B120" s="434"/>
      <c r="C120" s="432" t="s">
        <v>828</v>
      </c>
      <c r="D120" s="432" t="s">
        <v>828</v>
      </c>
      <c r="E120" s="431">
        <v>4.7E-2</v>
      </c>
      <c r="F120" s="430" t="s">
        <v>641</v>
      </c>
      <c r="G120" s="435">
        <v>0.01</v>
      </c>
      <c r="H120" s="435"/>
      <c r="I120" s="435"/>
      <c r="J120" s="435"/>
      <c r="K120" s="435"/>
      <c r="L120" s="435"/>
      <c r="M120" s="435"/>
      <c r="N120" s="435"/>
      <c r="O120" s="435"/>
      <c r="P120" s="435"/>
      <c r="Q120" s="435">
        <v>3.0000000000000001E-3</v>
      </c>
      <c r="R120" s="435">
        <v>2.5000000000000001E-3</v>
      </c>
      <c r="S120" s="435"/>
      <c r="T120" s="435"/>
      <c r="U120" s="435">
        <v>1.0999999999999999E-2</v>
      </c>
      <c r="V120" s="435">
        <v>5.0000000000000001E-3</v>
      </c>
      <c r="W120" s="433">
        <v>7.85E-2</v>
      </c>
      <c r="X120" s="18"/>
    </row>
    <row r="121" spans="1:24" x14ac:dyDescent="0.15">
      <c r="A121" s="525"/>
      <c r="B121" s="526"/>
      <c r="C121" s="526"/>
      <c r="D121" s="526"/>
      <c r="E121" s="527"/>
      <c r="F121" s="527" t="s">
        <v>609</v>
      </c>
      <c r="G121" s="527"/>
      <c r="H121" s="527"/>
      <c r="I121" s="527"/>
      <c r="J121" s="527"/>
      <c r="K121" s="527"/>
      <c r="L121" s="527"/>
      <c r="M121" s="527"/>
      <c r="N121" s="527"/>
      <c r="O121" s="527"/>
      <c r="P121" s="527"/>
      <c r="Q121" s="527"/>
      <c r="R121" s="527"/>
      <c r="S121" s="527"/>
      <c r="T121" s="527"/>
      <c r="U121" s="527"/>
      <c r="V121" s="527"/>
      <c r="W121" s="527"/>
      <c r="X121" s="18"/>
    </row>
    <row r="122" spans="1:24" x14ac:dyDescent="0.15">
      <c r="A122" s="436" t="s">
        <v>829</v>
      </c>
      <c r="B122" s="434"/>
      <c r="C122" s="432" t="s">
        <v>830</v>
      </c>
      <c r="D122" s="432" t="s">
        <v>830</v>
      </c>
      <c r="E122" s="431">
        <v>4.7E-2</v>
      </c>
      <c r="F122" s="430" t="s">
        <v>641</v>
      </c>
      <c r="G122" s="435">
        <v>0.01</v>
      </c>
      <c r="H122" s="435"/>
      <c r="I122" s="435"/>
      <c r="J122" s="435"/>
      <c r="K122" s="435"/>
      <c r="L122" s="435"/>
      <c r="M122" s="435"/>
      <c r="N122" s="435"/>
      <c r="O122" s="435"/>
      <c r="P122" s="435"/>
      <c r="Q122" s="435"/>
      <c r="R122" s="435">
        <v>2.5000000000000001E-3</v>
      </c>
      <c r="S122" s="435"/>
      <c r="T122" s="435"/>
      <c r="U122" s="435"/>
      <c r="V122" s="435"/>
      <c r="W122" s="433">
        <v>5.9500000000000004E-2</v>
      </c>
      <c r="X122" s="18"/>
    </row>
    <row r="123" spans="1:24" x14ac:dyDescent="0.15">
      <c r="A123" s="436" t="s">
        <v>831</v>
      </c>
      <c r="B123" s="434"/>
      <c r="C123" s="432" t="s">
        <v>832</v>
      </c>
      <c r="D123" s="432" t="s">
        <v>832</v>
      </c>
      <c r="E123" s="431">
        <v>4.7E-2</v>
      </c>
      <c r="F123" s="430" t="s">
        <v>641</v>
      </c>
      <c r="G123" s="435">
        <v>0.01</v>
      </c>
      <c r="H123" s="435"/>
      <c r="I123" s="435"/>
      <c r="J123" s="435"/>
      <c r="K123" s="435"/>
      <c r="L123" s="435"/>
      <c r="M123" s="435"/>
      <c r="N123" s="435"/>
      <c r="O123" s="435"/>
      <c r="P123" s="435">
        <v>1E-3</v>
      </c>
      <c r="Q123" s="435"/>
      <c r="R123" s="435">
        <v>2.5000000000000001E-3</v>
      </c>
      <c r="S123" s="435"/>
      <c r="T123" s="435"/>
      <c r="U123" s="435"/>
      <c r="V123" s="435"/>
      <c r="W123" s="433">
        <v>6.0500000000000005E-2</v>
      </c>
      <c r="X123" s="18"/>
    </row>
    <row r="124" spans="1:24" x14ac:dyDescent="0.15">
      <c r="A124" s="436" t="s">
        <v>833</v>
      </c>
      <c r="B124" s="434"/>
      <c r="C124" s="432" t="s">
        <v>834</v>
      </c>
      <c r="D124" s="432" t="s">
        <v>830</v>
      </c>
      <c r="E124" s="431">
        <v>4.7E-2</v>
      </c>
      <c r="F124" s="430" t="s">
        <v>641</v>
      </c>
      <c r="G124" s="435">
        <v>0.01</v>
      </c>
      <c r="H124" s="435"/>
      <c r="I124" s="435"/>
      <c r="J124" s="435"/>
      <c r="K124" s="435"/>
      <c r="L124" s="435"/>
      <c r="M124" s="435"/>
      <c r="N124" s="435"/>
      <c r="O124" s="435"/>
      <c r="P124" s="435"/>
      <c r="Q124" s="435"/>
      <c r="R124" s="435">
        <v>2.5000000000000001E-3</v>
      </c>
      <c r="S124" s="435"/>
      <c r="T124" s="435"/>
      <c r="U124" s="435"/>
      <c r="V124" s="435"/>
      <c r="W124" s="433">
        <v>5.9500000000000004E-2</v>
      </c>
      <c r="X124" s="18"/>
    </row>
    <row r="125" spans="1:24" x14ac:dyDescent="0.15">
      <c r="A125" s="436" t="s">
        <v>835</v>
      </c>
      <c r="B125" s="434"/>
      <c r="C125" s="432" t="s">
        <v>836</v>
      </c>
      <c r="D125" s="432" t="s">
        <v>830</v>
      </c>
      <c r="E125" s="431">
        <v>4.7E-2</v>
      </c>
      <c r="F125" s="430" t="s">
        <v>641</v>
      </c>
      <c r="G125" s="435">
        <v>0.01</v>
      </c>
      <c r="H125" s="435"/>
      <c r="I125" s="435"/>
      <c r="J125" s="435"/>
      <c r="K125" s="435"/>
      <c r="L125" s="435"/>
      <c r="M125" s="435"/>
      <c r="N125" s="435"/>
      <c r="O125" s="435"/>
      <c r="P125" s="435"/>
      <c r="Q125" s="435"/>
      <c r="R125" s="435">
        <v>2.5000000000000001E-3</v>
      </c>
      <c r="S125" s="435"/>
      <c r="T125" s="435"/>
      <c r="U125" s="435"/>
      <c r="V125" s="435"/>
      <c r="W125" s="433">
        <v>5.9500000000000004E-2</v>
      </c>
      <c r="X125" s="18"/>
    </row>
    <row r="126" spans="1:24" x14ac:dyDescent="0.15">
      <c r="A126" s="436" t="s">
        <v>837</v>
      </c>
      <c r="B126" s="434"/>
      <c r="C126" s="432" t="s">
        <v>838</v>
      </c>
      <c r="D126" s="432" t="s">
        <v>830</v>
      </c>
      <c r="E126" s="431">
        <v>4.7E-2</v>
      </c>
      <c r="F126" s="430" t="s">
        <v>641</v>
      </c>
      <c r="G126" s="435">
        <v>0.01</v>
      </c>
      <c r="H126" s="435"/>
      <c r="I126" s="435"/>
      <c r="J126" s="435"/>
      <c r="K126" s="435"/>
      <c r="L126" s="435"/>
      <c r="M126" s="435"/>
      <c r="N126" s="435"/>
      <c r="O126" s="435"/>
      <c r="P126" s="435"/>
      <c r="Q126" s="435"/>
      <c r="R126" s="435">
        <v>2.5000000000000001E-3</v>
      </c>
      <c r="S126" s="435"/>
      <c r="T126" s="435"/>
      <c r="U126" s="435"/>
      <c r="V126" s="435"/>
      <c r="W126" s="433">
        <v>5.9500000000000004E-2</v>
      </c>
      <c r="X126" s="18"/>
    </row>
    <row r="127" spans="1:24" x14ac:dyDescent="0.15">
      <c r="A127" s="436" t="s">
        <v>839</v>
      </c>
      <c r="B127" s="434"/>
      <c r="C127" s="432" t="s">
        <v>840</v>
      </c>
      <c r="D127" s="432" t="s">
        <v>830</v>
      </c>
      <c r="E127" s="431">
        <v>4.7E-2</v>
      </c>
      <c r="F127" s="430" t="s">
        <v>641</v>
      </c>
      <c r="G127" s="435">
        <v>0.01</v>
      </c>
      <c r="H127" s="435"/>
      <c r="I127" s="435"/>
      <c r="J127" s="435"/>
      <c r="K127" s="435"/>
      <c r="L127" s="435"/>
      <c r="M127" s="435"/>
      <c r="N127" s="435"/>
      <c r="O127" s="435"/>
      <c r="P127" s="435"/>
      <c r="Q127" s="435"/>
      <c r="R127" s="435">
        <v>2.5000000000000001E-3</v>
      </c>
      <c r="S127" s="435"/>
      <c r="T127" s="435"/>
      <c r="U127" s="435"/>
      <c r="V127" s="435"/>
      <c r="W127" s="433">
        <v>5.9500000000000004E-2</v>
      </c>
      <c r="X127" s="18"/>
    </row>
    <row r="128" spans="1:24" x14ac:dyDescent="0.15">
      <c r="A128" s="436" t="s">
        <v>841</v>
      </c>
      <c r="B128" s="434"/>
      <c r="C128" s="432" t="s">
        <v>842</v>
      </c>
      <c r="D128" s="432" t="s">
        <v>842</v>
      </c>
      <c r="E128" s="431">
        <v>4.7E-2</v>
      </c>
      <c r="F128" s="430" t="s">
        <v>641</v>
      </c>
      <c r="G128" s="435">
        <v>0.01</v>
      </c>
      <c r="H128" s="435"/>
      <c r="I128" s="435"/>
      <c r="J128" s="435"/>
      <c r="K128" s="435"/>
      <c r="L128" s="435"/>
      <c r="M128" s="435"/>
      <c r="N128" s="435"/>
      <c r="O128" s="435"/>
      <c r="P128" s="435">
        <v>1E-3</v>
      </c>
      <c r="Q128" s="435">
        <v>3.0000000000000001E-3</v>
      </c>
      <c r="R128" s="435">
        <v>2.5000000000000001E-3</v>
      </c>
      <c r="S128" s="435"/>
      <c r="T128" s="435"/>
      <c r="U128" s="435">
        <v>0.01</v>
      </c>
      <c r="V128" s="435">
        <v>5.0000000000000001E-3</v>
      </c>
      <c r="W128" s="433">
        <v>7.85E-2</v>
      </c>
      <c r="X128" s="18"/>
    </row>
    <row r="129" spans="1:24" x14ac:dyDescent="0.15">
      <c r="A129" s="525"/>
      <c r="B129" s="526"/>
      <c r="C129" s="526"/>
      <c r="D129" s="526"/>
      <c r="E129" s="527"/>
      <c r="F129" s="527" t="s">
        <v>609</v>
      </c>
      <c r="G129" s="527"/>
      <c r="H129" s="527"/>
      <c r="I129" s="527"/>
      <c r="J129" s="527"/>
      <c r="K129" s="527"/>
      <c r="L129" s="527"/>
      <c r="M129" s="527"/>
      <c r="N129" s="527"/>
      <c r="O129" s="527"/>
      <c r="P129" s="527"/>
      <c r="Q129" s="527"/>
      <c r="R129" s="527"/>
      <c r="S129" s="527"/>
      <c r="T129" s="527"/>
      <c r="U129" s="527"/>
      <c r="V129" s="527"/>
      <c r="W129" s="527"/>
      <c r="X129" s="18"/>
    </row>
    <row r="130" spans="1:24" x14ac:dyDescent="0.15">
      <c r="A130" s="436" t="s">
        <v>843</v>
      </c>
      <c r="B130" s="434"/>
      <c r="C130" s="432" t="s">
        <v>844</v>
      </c>
      <c r="D130" s="432" t="s">
        <v>844</v>
      </c>
      <c r="E130" s="431">
        <v>4.7E-2</v>
      </c>
      <c r="F130" s="430" t="s">
        <v>641</v>
      </c>
      <c r="G130" s="435">
        <v>0.01</v>
      </c>
      <c r="H130" s="435"/>
      <c r="I130" s="435"/>
      <c r="J130" s="435"/>
      <c r="K130" s="435"/>
      <c r="L130" s="435"/>
      <c r="M130" s="435"/>
      <c r="N130" s="435"/>
      <c r="O130" s="435"/>
      <c r="P130" s="435"/>
      <c r="Q130" s="435"/>
      <c r="R130" s="435">
        <v>2.5000000000000001E-3</v>
      </c>
      <c r="S130" s="435"/>
      <c r="T130" s="435"/>
      <c r="U130" s="435"/>
      <c r="V130" s="435"/>
      <c r="W130" s="433">
        <v>5.9500000000000004E-2</v>
      </c>
      <c r="X130" s="18"/>
    </row>
    <row r="131" spans="1:24" x14ac:dyDescent="0.15">
      <c r="A131" s="436" t="s">
        <v>845</v>
      </c>
      <c r="B131" s="434"/>
      <c r="C131" s="432" t="s">
        <v>846</v>
      </c>
      <c r="D131" s="432" t="s">
        <v>844</v>
      </c>
      <c r="E131" s="431">
        <v>4.7E-2</v>
      </c>
      <c r="F131" s="430" t="s">
        <v>641</v>
      </c>
      <c r="G131" s="435">
        <v>0.01</v>
      </c>
      <c r="H131" s="435"/>
      <c r="I131" s="435"/>
      <c r="J131" s="435"/>
      <c r="K131" s="435"/>
      <c r="L131" s="435"/>
      <c r="M131" s="435"/>
      <c r="N131" s="435"/>
      <c r="O131" s="435"/>
      <c r="P131" s="435"/>
      <c r="Q131" s="435"/>
      <c r="R131" s="435">
        <v>2.5000000000000001E-3</v>
      </c>
      <c r="S131" s="435"/>
      <c r="T131" s="435"/>
      <c r="U131" s="435"/>
      <c r="V131" s="435"/>
      <c r="W131" s="433">
        <v>5.9500000000000004E-2</v>
      </c>
      <c r="X131" s="18"/>
    </row>
    <row r="132" spans="1:24" x14ac:dyDescent="0.15">
      <c r="A132" s="436" t="s">
        <v>847</v>
      </c>
      <c r="B132" s="434"/>
      <c r="C132" s="432" t="s">
        <v>848</v>
      </c>
      <c r="D132" s="432" t="s">
        <v>844</v>
      </c>
      <c r="E132" s="431">
        <v>4.7E-2</v>
      </c>
      <c r="F132" s="430" t="s">
        <v>641</v>
      </c>
      <c r="G132" s="435">
        <v>0.01</v>
      </c>
      <c r="H132" s="435"/>
      <c r="I132" s="435"/>
      <c r="J132" s="435"/>
      <c r="K132" s="435"/>
      <c r="L132" s="435"/>
      <c r="M132" s="435"/>
      <c r="N132" s="435"/>
      <c r="O132" s="435"/>
      <c r="P132" s="435"/>
      <c r="Q132" s="435"/>
      <c r="R132" s="435">
        <v>2.5000000000000001E-3</v>
      </c>
      <c r="S132" s="435"/>
      <c r="T132" s="435"/>
      <c r="U132" s="435"/>
      <c r="V132" s="435"/>
      <c r="W132" s="433">
        <v>5.9500000000000004E-2</v>
      </c>
      <c r="X132" s="18"/>
    </row>
    <row r="133" spans="1:24" x14ac:dyDescent="0.15">
      <c r="A133" s="436" t="s">
        <v>849</v>
      </c>
      <c r="B133" s="434"/>
      <c r="C133" s="432" t="s">
        <v>850</v>
      </c>
      <c r="D133" s="432" t="s">
        <v>844</v>
      </c>
      <c r="E133" s="431">
        <v>4.7E-2</v>
      </c>
      <c r="F133" s="430" t="s">
        <v>641</v>
      </c>
      <c r="G133" s="435">
        <v>0.01</v>
      </c>
      <c r="H133" s="435"/>
      <c r="I133" s="435"/>
      <c r="J133" s="435"/>
      <c r="K133" s="435"/>
      <c r="L133" s="435"/>
      <c r="M133" s="435"/>
      <c r="N133" s="435"/>
      <c r="O133" s="435"/>
      <c r="P133" s="435"/>
      <c r="Q133" s="435"/>
      <c r="R133" s="435">
        <v>2.5000000000000001E-3</v>
      </c>
      <c r="S133" s="435"/>
      <c r="T133" s="435"/>
      <c r="U133" s="435"/>
      <c r="V133" s="435"/>
      <c r="W133" s="433">
        <v>5.9500000000000004E-2</v>
      </c>
      <c r="X133" s="18"/>
    </row>
    <row r="134" spans="1:24" x14ac:dyDescent="0.15">
      <c r="A134" s="436" t="s">
        <v>851</v>
      </c>
      <c r="B134" s="434"/>
      <c r="C134" s="432" t="s">
        <v>852</v>
      </c>
      <c r="D134" s="432" t="s">
        <v>852</v>
      </c>
      <c r="E134" s="431">
        <v>4.7E-2</v>
      </c>
      <c r="F134" s="430" t="s">
        <v>641</v>
      </c>
      <c r="G134" s="435">
        <v>0.01</v>
      </c>
      <c r="H134" s="435"/>
      <c r="I134" s="435"/>
      <c r="J134" s="435"/>
      <c r="K134" s="435"/>
      <c r="L134" s="435"/>
      <c r="M134" s="435"/>
      <c r="N134" s="435"/>
      <c r="O134" s="435"/>
      <c r="P134" s="435"/>
      <c r="Q134" s="435">
        <v>3.0000000000000001E-3</v>
      </c>
      <c r="R134" s="435">
        <v>2.5000000000000001E-3</v>
      </c>
      <c r="S134" s="435"/>
      <c r="T134" s="435"/>
      <c r="U134" s="435"/>
      <c r="V134" s="435"/>
      <c r="W134" s="433">
        <v>6.25E-2</v>
      </c>
      <c r="X134" s="18"/>
    </row>
    <row r="135" spans="1:24" x14ac:dyDescent="0.15">
      <c r="A135" s="436" t="s">
        <v>853</v>
      </c>
      <c r="B135" s="434"/>
      <c r="C135" s="529" t="s">
        <v>854</v>
      </c>
      <c r="D135" s="529" t="s">
        <v>844</v>
      </c>
      <c r="E135" s="431">
        <v>4.7E-2</v>
      </c>
      <c r="F135" s="430" t="s">
        <v>641</v>
      </c>
      <c r="G135" s="435">
        <v>0.01</v>
      </c>
      <c r="H135" s="435"/>
      <c r="I135" s="435"/>
      <c r="J135" s="435"/>
      <c r="K135" s="435"/>
      <c r="L135" s="435"/>
      <c r="M135" s="435"/>
      <c r="N135" s="435"/>
      <c r="O135" s="435"/>
      <c r="P135" s="435"/>
      <c r="Q135" s="435"/>
      <c r="R135" s="435">
        <v>2.5000000000000001E-3</v>
      </c>
      <c r="S135" s="435"/>
      <c r="T135" s="435"/>
      <c r="U135" s="435"/>
      <c r="V135" s="435"/>
      <c r="W135" s="433">
        <v>5.9500000000000004E-2</v>
      </c>
      <c r="X135" s="18"/>
    </row>
    <row r="136" spans="1:24" x14ac:dyDescent="0.15">
      <c r="A136" s="436" t="s">
        <v>1335</v>
      </c>
      <c r="B136" s="434"/>
      <c r="C136" s="529" t="s">
        <v>1336</v>
      </c>
      <c r="D136" s="432">
        <v>0</v>
      </c>
      <c r="E136" s="431">
        <v>4.7E-2</v>
      </c>
      <c r="F136" s="430" t="s">
        <v>641</v>
      </c>
      <c r="G136" s="435">
        <v>0.01</v>
      </c>
      <c r="H136" s="435">
        <v>2.5000000000000001E-3</v>
      </c>
      <c r="I136" s="435"/>
      <c r="J136" s="435"/>
      <c r="K136" s="435"/>
      <c r="L136" s="435"/>
      <c r="M136" s="435"/>
      <c r="N136" s="435"/>
      <c r="O136" s="435"/>
      <c r="P136" s="435"/>
      <c r="Q136" s="435"/>
      <c r="R136" s="435">
        <v>2.5000000000000001E-3</v>
      </c>
      <c r="S136" s="435"/>
      <c r="T136" s="435"/>
      <c r="U136" s="435"/>
      <c r="V136" s="435"/>
      <c r="W136" s="433">
        <v>6.2000000000000006E-2</v>
      </c>
      <c r="X136" s="18"/>
    </row>
    <row r="137" spans="1:24" x14ac:dyDescent="0.15">
      <c r="A137" s="525"/>
      <c r="B137" s="526"/>
      <c r="C137" s="526"/>
      <c r="D137" s="526"/>
      <c r="E137" s="527"/>
      <c r="F137" s="527" t="s">
        <v>609</v>
      </c>
      <c r="G137" s="527"/>
      <c r="H137" s="527"/>
      <c r="I137" s="527"/>
      <c r="J137" s="527"/>
      <c r="K137" s="527"/>
      <c r="L137" s="527"/>
      <c r="M137" s="527"/>
      <c r="N137" s="527"/>
      <c r="O137" s="527"/>
      <c r="P137" s="527"/>
      <c r="Q137" s="527"/>
      <c r="R137" s="527"/>
      <c r="S137" s="527"/>
      <c r="T137" s="527"/>
      <c r="U137" s="527"/>
      <c r="V137" s="527"/>
      <c r="W137" s="527"/>
      <c r="X137" s="18"/>
    </row>
    <row r="138" spans="1:24" x14ac:dyDescent="0.15">
      <c r="A138" s="436" t="s">
        <v>855</v>
      </c>
      <c r="B138" s="434"/>
      <c r="C138" s="432" t="s">
        <v>856</v>
      </c>
      <c r="D138" s="432" t="s">
        <v>856</v>
      </c>
      <c r="E138" s="431">
        <v>4.7E-2</v>
      </c>
      <c r="F138" s="430" t="s">
        <v>641</v>
      </c>
      <c r="G138" s="435">
        <v>0.01</v>
      </c>
      <c r="H138" s="435"/>
      <c r="I138" s="435"/>
      <c r="J138" s="435"/>
      <c r="K138" s="435"/>
      <c r="L138" s="435"/>
      <c r="M138" s="435"/>
      <c r="N138" s="435">
        <v>0.01</v>
      </c>
      <c r="O138" s="435"/>
      <c r="P138" s="435"/>
      <c r="Q138" s="435"/>
      <c r="R138" s="435">
        <v>2.5000000000000001E-3</v>
      </c>
      <c r="S138" s="435"/>
      <c r="T138" s="435"/>
      <c r="U138" s="435"/>
      <c r="V138" s="435"/>
      <c r="W138" s="433">
        <v>6.9500000000000006E-2</v>
      </c>
      <c r="X138" s="18"/>
    </row>
    <row r="139" spans="1:24" x14ac:dyDescent="0.15">
      <c r="A139" s="436" t="s">
        <v>857</v>
      </c>
      <c r="B139" s="434"/>
      <c r="C139" s="432" t="s">
        <v>858</v>
      </c>
      <c r="D139" s="432" t="s">
        <v>856</v>
      </c>
      <c r="E139" s="431">
        <v>4.7E-2</v>
      </c>
      <c r="F139" s="430" t="s">
        <v>641</v>
      </c>
      <c r="G139" s="435">
        <v>0.01</v>
      </c>
      <c r="H139" s="435"/>
      <c r="I139" s="435"/>
      <c r="J139" s="435"/>
      <c r="K139" s="435"/>
      <c r="L139" s="435"/>
      <c r="M139" s="435"/>
      <c r="N139" s="435">
        <v>0.01</v>
      </c>
      <c r="O139" s="435"/>
      <c r="P139" s="435"/>
      <c r="Q139" s="435"/>
      <c r="R139" s="435">
        <v>2.5000000000000001E-3</v>
      </c>
      <c r="S139" s="435"/>
      <c r="T139" s="435"/>
      <c r="U139" s="435"/>
      <c r="V139" s="435"/>
      <c r="W139" s="433">
        <v>6.9500000000000006E-2</v>
      </c>
      <c r="X139" s="18"/>
    </row>
    <row r="140" spans="1:24" x14ac:dyDescent="0.15">
      <c r="A140" s="436" t="s">
        <v>859</v>
      </c>
      <c r="B140" s="434"/>
      <c r="C140" s="432" t="s">
        <v>860</v>
      </c>
      <c r="D140" s="432" t="s">
        <v>856</v>
      </c>
      <c r="E140" s="431">
        <v>4.7E-2</v>
      </c>
      <c r="F140" s="430" t="s">
        <v>641</v>
      </c>
      <c r="G140" s="435">
        <v>0.01</v>
      </c>
      <c r="H140" s="435"/>
      <c r="I140" s="435"/>
      <c r="J140" s="435"/>
      <c r="K140" s="435"/>
      <c r="L140" s="435"/>
      <c r="M140" s="435"/>
      <c r="N140" s="435">
        <v>0.01</v>
      </c>
      <c r="O140" s="435"/>
      <c r="P140" s="435"/>
      <c r="Q140" s="435"/>
      <c r="R140" s="435">
        <v>2.5000000000000001E-3</v>
      </c>
      <c r="S140" s="435"/>
      <c r="T140" s="435"/>
      <c r="U140" s="435"/>
      <c r="V140" s="435"/>
      <c r="W140" s="433">
        <v>6.9500000000000006E-2</v>
      </c>
      <c r="X140" s="18"/>
    </row>
    <row r="141" spans="1:24" x14ac:dyDescent="0.15">
      <c r="A141" s="436" t="s">
        <v>861</v>
      </c>
      <c r="B141" s="434"/>
      <c r="C141" s="432" t="s">
        <v>862</v>
      </c>
      <c r="D141" s="432" t="s">
        <v>862</v>
      </c>
      <c r="E141" s="431">
        <v>4.7E-2</v>
      </c>
      <c r="F141" s="430" t="s">
        <v>641</v>
      </c>
      <c r="G141" s="435">
        <v>0.01</v>
      </c>
      <c r="H141" s="435"/>
      <c r="I141" s="435"/>
      <c r="J141" s="435"/>
      <c r="K141" s="435"/>
      <c r="L141" s="435"/>
      <c r="M141" s="435"/>
      <c r="N141" s="435">
        <v>0.01</v>
      </c>
      <c r="O141" s="435"/>
      <c r="P141" s="435"/>
      <c r="Q141" s="435"/>
      <c r="R141" s="435">
        <v>2.5000000000000001E-3</v>
      </c>
      <c r="S141" s="435"/>
      <c r="T141" s="435"/>
      <c r="U141" s="435">
        <v>0.01</v>
      </c>
      <c r="V141" s="435"/>
      <c r="W141" s="433">
        <v>7.9500000000000001E-2</v>
      </c>
      <c r="X141" s="18"/>
    </row>
    <row r="142" spans="1:24" x14ac:dyDescent="0.15">
      <c r="A142" s="436" t="s">
        <v>863</v>
      </c>
      <c r="B142" s="434"/>
      <c r="C142" s="432" t="s">
        <v>864</v>
      </c>
      <c r="D142" s="432" t="s">
        <v>864</v>
      </c>
      <c r="E142" s="431">
        <v>4.7E-2</v>
      </c>
      <c r="F142" s="430" t="s">
        <v>641</v>
      </c>
      <c r="G142" s="435">
        <v>0.01</v>
      </c>
      <c r="H142" s="435"/>
      <c r="I142" s="435"/>
      <c r="J142" s="435"/>
      <c r="K142" s="435"/>
      <c r="L142" s="435"/>
      <c r="M142" s="435"/>
      <c r="N142" s="435">
        <v>0.01</v>
      </c>
      <c r="O142" s="435"/>
      <c r="P142" s="435"/>
      <c r="Q142" s="435"/>
      <c r="R142" s="435">
        <v>2.5000000000000001E-3</v>
      </c>
      <c r="S142" s="435"/>
      <c r="T142" s="435"/>
      <c r="U142" s="435">
        <v>0.01</v>
      </c>
      <c r="V142" s="435"/>
      <c r="W142" s="433">
        <v>7.9500000000000001E-2</v>
      </c>
      <c r="X142" s="18"/>
    </row>
    <row r="143" spans="1:24" x14ac:dyDescent="0.15">
      <c r="A143" s="436" t="s">
        <v>865</v>
      </c>
      <c r="B143" s="434"/>
      <c r="C143" s="432" t="s">
        <v>866</v>
      </c>
      <c r="D143" s="432" t="s">
        <v>856</v>
      </c>
      <c r="E143" s="431">
        <v>4.7E-2</v>
      </c>
      <c r="F143" s="430" t="s">
        <v>641</v>
      </c>
      <c r="G143" s="435">
        <v>0.01</v>
      </c>
      <c r="H143" s="435"/>
      <c r="I143" s="435"/>
      <c r="J143" s="435"/>
      <c r="K143" s="435"/>
      <c r="L143" s="435"/>
      <c r="M143" s="435"/>
      <c r="N143" s="435">
        <v>0.01</v>
      </c>
      <c r="O143" s="435"/>
      <c r="P143" s="435"/>
      <c r="Q143" s="435"/>
      <c r="R143" s="435">
        <v>2.5000000000000001E-3</v>
      </c>
      <c r="S143" s="435"/>
      <c r="T143" s="435"/>
      <c r="U143" s="435"/>
      <c r="V143" s="435"/>
      <c r="W143" s="433">
        <v>6.9500000000000006E-2</v>
      </c>
      <c r="X143" s="18"/>
    </row>
    <row r="144" spans="1:24" x14ac:dyDescent="0.15">
      <c r="A144" s="525"/>
      <c r="B144" s="526"/>
      <c r="C144" s="526"/>
      <c r="D144" s="526"/>
      <c r="E144" s="527"/>
      <c r="F144" s="527" t="s">
        <v>609</v>
      </c>
      <c r="G144" s="527"/>
      <c r="H144" s="527"/>
      <c r="I144" s="527"/>
      <c r="J144" s="527"/>
      <c r="K144" s="527"/>
      <c r="L144" s="527"/>
      <c r="M144" s="527"/>
      <c r="N144" s="527"/>
      <c r="O144" s="527"/>
      <c r="P144" s="527"/>
      <c r="Q144" s="527"/>
      <c r="R144" s="527"/>
      <c r="S144" s="527"/>
      <c r="T144" s="527"/>
      <c r="U144" s="527"/>
      <c r="V144" s="527"/>
      <c r="W144" s="527"/>
      <c r="X144" s="18"/>
    </row>
    <row r="145" spans="1:24" x14ac:dyDescent="0.15">
      <c r="A145" s="436" t="s">
        <v>867</v>
      </c>
      <c r="B145" s="434"/>
      <c r="C145" s="432" t="s">
        <v>868</v>
      </c>
      <c r="D145" s="432" t="s">
        <v>868</v>
      </c>
      <c r="E145" s="431">
        <v>4.7E-2</v>
      </c>
      <c r="F145" s="430" t="s">
        <v>641</v>
      </c>
      <c r="G145" s="435">
        <v>0.01</v>
      </c>
      <c r="H145" s="435"/>
      <c r="I145" s="435"/>
      <c r="J145" s="435"/>
      <c r="K145" s="435"/>
      <c r="L145" s="435"/>
      <c r="M145" s="435"/>
      <c r="N145" s="435"/>
      <c r="O145" s="435"/>
      <c r="P145" s="435"/>
      <c r="Q145" s="435"/>
      <c r="R145" s="435">
        <v>2.5000000000000001E-3</v>
      </c>
      <c r="S145" s="435"/>
      <c r="T145" s="435"/>
      <c r="U145" s="435"/>
      <c r="V145" s="435"/>
      <c r="W145" s="433">
        <v>5.9500000000000004E-2</v>
      </c>
      <c r="X145" s="18"/>
    </row>
    <row r="146" spans="1:24" x14ac:dyDescent="0.15">
      <c r="A146" s="436" t="s">
        <v>869</v>
      </c>
      <c r="B146" s="434"/>
      <c r="C146" s="432" t="s">
        <v>870</v>
      </c>
      <c r="D146" s="432" t="s">
        <v>868</v>
      </c>
      <c r="E146" s="431">
        <v>4.7E-2</v>
      </c>
      <c r="F146" s="430" t="s">
        <v>641</v>
      </c>
      <c r="G146" s="435">
        <v>0.01</v>
      </c>
      <c r="H146" s="435"/>
      <c r="I146" s="435"/>
      <c r="J146" s="435"/>
      <c r="K146" s="435"/>
      <c r="L146" s="435"/>
      <c r="M146" s="435"/>
      <c r="N146" s="435"/>
      <c r="O146" s="435"/>
      <c r="P146" s="435"/>
      <c r="Q146" s="435"/>
      <c r="R146" s="435">
        <v>2.5000000000000001E-3</v>
      </c>
      <c r="S146" s="435"/>
      <c r="T146" s="435"/>
      <c r="U146" s="435"/>
      <c r="V146" s="435"/>
      <c r="W146" s="433">
        <v>5.9500000000000004E-2</v>
      </c>
      <c r="X146" s="18"/>
    </row>
    <row r="147" spans="1:24" x14ac:dyDescent="0.15">
      <c r="A147" s="436" t="s">
        <v>871</v>
      </c>
      <c r="B147" s="434"/>
      <c r="C147" s="432" t="s">
        <v>872</v>
      </c>
      <c r="D147" s="432" t="s">
        <v>868</v>
      </c>
      <c r="E147" s="431">
        <v>4.7E-2</v>
      </c>
      <c r="F147" s="430" t="s">
        <v>641</v>
      </c>
      <c r="G147" s="435">
        <v>0.01</v>
      </c>
      <c r="H147" s="435"/>
      <c r="I147" s="435"/>
      <c r="J147" s="435"/>
      <c r="K147" s="435"/>
      <c r="L147" s="435"/>
      <c r="M147" s="435"/>
      <c r="N147" s="435"/>
      <c r="O147" s="435"/>
      <c r="P147" s="435"/>
      <c r="Q147" s="435"/>
      <c r="R147" s="435">
        <v>2.5000000000000001E-3</v>
      </c>
      <c r="S147" s="435"/>
      <c r="T147" s="435"/>
      <c r="U147" s="435"/>
      <c r="V147" s="435"/>
      <c r="W147" s="433">
        <v>5.9500000000000004E-2</v>
      </c>
      <c r="X147" s="18"/>
    </row>
    <row r="148" spans="1:24" x14ac:dyDescent="0.15">
      <c r="A148" s="436" t="s">
        <v>873</v>
      </c>
      <c r="B148" s="434"/>
      <c r="C148" s="432" t="s">
        <v>874</v>
      </c>
      <c r="D148" s="432" t="s">
        <v>868</v>
      </c>
      <c r="E148" s="431">
        <v>4.7E-2</v>
      </c>
      <c r="F148" s="430" t="s">
        <v>641</v>
      </c>
      <c r="G148" s="435">
        <v>0.01</v>
      </c>
      <c r="H148" s="435"/>
      <c r="I148" s="435"/>
      <c r="J148" s="435"/>
      <c r="K148" s="435"/>
      <c r="L148" s="435"/>
      <c r="M148" s="435"/>
      <c r="N148" s="435"/>
      <c r="O148" s="435"/>
      <c r="P148" s="435"/>
      <c r="Q148" s="435"/>
      <c r="R148" s="435">
        <v>2.5000000000000001E-3</v>
      </c>
      <c r="S148" s="435"/>
      <c r="T148" s="435"/>
      <c r="U148" s="435"/>
      <c r="V148" s="435"/>
      <c r="W148" s="433">
        <v>5.9500000000000004E-2</v>
      </c>
      <c r="X148" s="18"/>
    </row>
    <row r="149" spans="1:24" x14ac:dyDescent="0.15">
      <c r="A149" s="436" t="s">
        <v>875</v>
      </c>
      <c r="B149" s="434"/>
      <c r="C149" s="432" t="s">
        <v>876</v>
      </c>
      <c r="D149" s="432" t="s">
        <v>868</v>
      </c>
      <c r="E149" s="431">
        <v>4.7E-2</v>
      </c>
      <c r="F149" s="430" t="s">
        <v>641</v>
      </c>
      <c r="G149" s="435">
        <v>0.01</v>
      </c>
      <c r="H149" s="435"/>
      <c r="I149" s="435"/>
      <c r="J149" s="435"/>
      <c r="K149" s="435"/>
      <c r="L149" s="435"/>
      <c r="M149" s="435"/>
      <c r="N149" s="435"/>
      <c r="O149" s="435"/>
      <c r="P149" s="435"/>
      <c r="Q149" s="435"/>
      <c r="R149" s="435">
        <v>2.5000000000000001E-3</v>
      </c>
      <c r="S149" s="435"/>
      <c r="T149" s="435"/>
      <c r="U149" s="435"/>
      <c r="V149" s="435"/>
      <c r="W149" s="433">
        <v>5.9500000000000004E-2</v>
      </c>
      <c r="X149" s="18"/>
    </row>
    <row r="150" spans="1:24" x14ac:dyDescent="0.15">
      <c r="A150" s="436" t="s">
        <v>877</v>
      </c>
      <c r="B150" s="434"/>
      <c r="C150" s="432" t="s">
        <v>878</v>
      </c>
      <c r="D150" s="432" t="s">
        <v>868</v>
      </c>
      <c r="E150" s="431">
        <v>4.7E-2</v>
      </c>
      <c r="F150" s="430" t="s">
        <v>641</v>
      </c>
      <c r="G150" s="435">
        <v>0.01</v>
      </c>
      <c r="H150" s="435"/>
      <c r="I150" s="435"/>
      <c r="J150" s="435"/>
      <c r="K150" s="435"/>
      <c r="L150" s="435"/>
      <c r="M150" s="435"/>
      <c r="N150" s="435"/>
      <c r="O150" s="435"/>
      <c r="P150" s="435"/>
      <c r="Q150" s="435"/>
      <c r="R150" s="435">
        <v>2.5000000000000001E-3</v>
      </c>
      <c r="S150" s="435"/>
      <c r="T150" s="435"/>
      <c r="U150" s="435"/>
      <c r="V150" s="435"/>
      <c r="W150" s="433">
        <v>5.9500000000000004E-2</v>
      </c>
      <c r="X150" s="18"/>
    </row>
    <row r="151" spans="1:24" x14ac:dyDescent="0.15">
      <c r="A151" s="436" t="s">
        <v>879</v>
      </c>
      <c r="B151" s="434"/>
      <c r="C151" s="432" t="s">
        <v>880</v>
      </c>
      <c r="D151" s="432" t="s">
        <v>868</v>
      </c>
      <c r="E151" s="431">
        <v>4.7E-2</v>
      </c>
      <c r="F151" s="430" t="s">
        <v>641</v>
      </c>
      <c r="G151" s="435">
        <v>0.01</v>
      </c>
      <c r="H151" s="435"/>
      <c r="I151" s="435"/>
      <c r="J151" s="435"/>
      <c r="K151" s="435"/>
      <c r="L151" s="435"/>
      <c r="M151" s="435"/>
      <c r="N151" s="435"/>
      <c r="O151" s="435"/>
      <c r="P151" s="435"/>
      <c r="Q151" s="435"/>
      <c r="R151" s="435">
        <v>2.5000000000000001E-3</v>
      </c>
      <c r="S151" s="435"/>
      <c r="T151" s="435"/>
      <c r="U151" s="435"/>
      <c r="V151" s="435"/>
      <c r="W151" s="433">
        <v>5.9500000000000004E-2</v>
      </c>
      <c r="X151" s="18"/>
    </row>
    <row r="152" spans="1:24" x14ac:dyDescent="0.15">
      <c r="A152" s="436" t="s">
        <v>881</v>
      </c>
      <c r="B152" s="434"/>
      <c r="C152" s="432" t="s">
        <v>882</v>
      </c>
      <c r="D152" s="432" t="s">
        <v>868</v>
      </c>
      <c r="E152" s="431">
        <v>4.7E-2</v>
      </c>
      <c r="F152" s="430" t="s">
        <v>641</v>
      </c>
      <c r="G152" s="435">
        <v>0.01</v>
      </c>
      <c r="H152" s="435"/>
      <c r="I152" s="435"/>
      <c r="J152" s="435"/>
      <c r="K152" s="435"/>
      <c r="L152" s="435"/>
      <c r="M152" s="435"/>
      <c r="N152" s="435"/>
      <c r="O152" s="435"/>
      <c r="P152" s="435"/>
      <c r="Q152" s="435"/>
      <c r="R152" s="435">
        <v>2.5000000000000001E-3</v>
      </c>
      <c r="S152" s="435"/>
      <c r="T152" s="435"/>
      <c r="U152" s="435"/>
      <c r="V152" s="435"/>
      <c r="W152" s="433">
        <v>5.9500000000000004E-2</v>
      </c>
      <c r="X152" s="18"/>
    </row>
    <row r="153" spans="1:24" x14ac:dyDescent="0.15">
      <c r="A153" s="436" t="s">
        <v>883</v>
      </c>
      <c r="B153" s="434"/>
      <c r="C153" s="432" t="s">
        <v>884</v>
      </c>
      <c r="D153" s="432" t="s">
        <v>868</v>
      </c>
      <c r="E153" s="431">
        <v>4.7E-2</v>
      </c>
      <c r="F153" s="430" t="s">
        <v>641</v>
      </c>
      <c r="G153" s="435">
        <v>0.01</v>
      </c>
      <c r="H153" s="435"/>
      <c r="I153" s="435"/>
      <c r="J153" s="435"/>
      <c r="K153" s="435"/>
      <c r="L153" s="435"/>
      <c r="M153" s="435"/>
      <c r="N153" s="435"/>
      <c r="O153" s="435"/>
      <c r="P153" s="435"/>
      <c r="Q153" s="435"/>
      <c r="R153" s="435">
        <v>2.5000000000000001E-3</v>
      </c>
      <c r="S153" s="435"/>
      <c r="T153" s="435"/>
      <c r="U153" s="435"/>
      <c r="V153" s="435"/>
      <c r="W153" s="433">
        <v>5.9500000000000004E-2</v>
      </c>
      <c r="X153" s="18"/>
    </row>
    <row r="154" spans="1:24" x14ac:dyDescent="0.15">
      <c r="A154" s="436" t="s">
        <v>885</v>
      </c>
      <c r="B154" s="434"/>
      <c r="C154" s="432" t="s">
        <v>886</v>
      </c>
      <c r="D154" s="432" t="s">
        <v>868</v>
      </c>
      <c r="E154" s="431">
        <v>4.7E-2</v>
      </c>
      <c r="F154" s="430" t="s">
        <v>641</v>
      </c>
      <c r="G154" s="435">
        <v>0.01</v>
      </c>
      <c r="H154" s="435"/>
      <c r="I154" s="435"/>
      <c r="J154" s="435"/>
      <c r="K154" s="435"/>
      <c r="L154" s="435"/>
      <c r="M154" s="435"/>
      <c r="N154" s="435"/>
      <c r="O154" s="435"/>
      <c r="P154" s="435"/>
      <c r="Q154" s="435"/>
      <c r="R154" s="435">
        <v>2.5000000000000001E-3</v>
      </c>
      <c r="S154" s="435"/>
      <c r="T154" s="435"/>
      <c r="U154" s="435"/>
      <c r="V154" s="435"/>
      <c r="W154" s="433">
        <v>5.9500000000000004E-2</v>
      </c>
      <c r="X154" s="18"/>
    </row>
    <row r="155" spans="1:24" x14ac:dyDescent="0.15">
      <c r="A155" s="436" t="s">
        <v>887</v>
      </c>
      <c r="B155" s="434"/>
      <c r="C155" s="432" t="s">
        <v>888</v>
      </c>
      <c r="D155" s="432" t="s">
        <v>868</v>
      </c>
      <c r="E155" s="431">
        <v>4.7E-2</v>
      </c>
      <c r="F155" s="430" t="s">
        <v>641</v>
      </c>
      <c r="G155" s="435">
        <v>0.01</v>
      </c>
      <c r="H155" s="435"/>
      <c r="I155" s="435"/>
      <c r="J155" s="435"/>
      <c r="K155" s="435"/>
      <c r="L155" s="435"/>
      <c r="M155" s="435"/>
      <c r="N155" s="435"/>
      <c r="O155" s="435"/>
      <c r="P155" s="435"/>
      <c r="Q155" s="435"/>
      <c r="R155" s="435">
        <v>2.5000000000000001E-3</v>
      </c>
      <c r="S155" s="435"/>
      <c r="T155" s="435"/>
      <c r="U155" s="435"/>
      <c r="V155" s="435"/>
      <c r="W155" s="433">
        <v>5.9500000000000004E-2</v>
      </c>
      <c r="X155" s="18"/>
    </row>
    <row r="156" spans="1:24" x14ac:dyDescent="0.15">
      <c r="A156" s="525"/>
      <c r="B156" s="526"/>
      <c r="C156" s="526"/>
      <c r="D156" s="526"/>
      <c r="E156" s="527"/>
      <c r="F156" s="527" t="s">
        <v>609</v>
      </c>
      <c r="G156" s="527"/>
      <c r="H156" s="527"/>
      <c r="I156" s="527"/>
      <c r="J156" s="527"/>
      <c r="K156" s="527"/>
      <c r="L156" s="527"/>
      <c r="M156" s="527"/>
      <c r="N156" s="527"/>
      <c r="O156" s="527"/>
      <c r="P156" s="527"/>
      <c r="Q156" s="527"/>
      <c r="R156" s="527"/>
      <c r="S156" s="527"/>
      <c r="T156" s="527"/>
      <c r="U156" s="527"/>
      <c r="V156" s="527"/>
      <c r="W156" s="527"/>
      <c r="X156" s="18"/>
    </row>
    <row r="157" spans="1:24" x14ac:dyDescent="0.15">
      <c r="A157" s="436" t="s">
        <v>889</v>
      </c>
      <c r="B157" s="434"/>
      <c r="C157" s="432" t="s">
        <v>890</v>
      </c>
      <c r="D157" s="432" t="s">
        <v>890</v>
      </c>
      <c r="E157" s="431">
        <v>4.7E-2</v>
      </c>
      <c r="F157" s="430" t="s">
        <v>641</v>
      </c>
      <c r="G157" s="435">
        <v>0.01</v>
      </c>
      <c r="H157" s="435"/>
      <c r="I157" s="435"/>
      <c r="J157" s="435"/>
      <c r="K157" s="435"/>
      <c r="L157" s="435"/>
      <c r="M157" s="435"/>
      <c r="N157" s="435"/>
      <c r="O157" s="435"/>
      <c r="P157" s="435"/>
      <c r="Q157" s="435"/>
      <c r="R157" s="435">
        <v>2.5000000000000001E-3</v>
      </c>
      <c r="S157" s="435"/>
      <c r="T157" s="435"/>
      <c r="U157" s="435"/>
      <c r="V157" s="435"/>
      <c r="W157" s="433">
        <v>5.9500000000000004E-2</v>
      </c>
      <c r="X157" s="18"/>
    </row>
    <row r="158" spans="1:24" x14ac:dyDescent="0.15">
      <c r="A158" s="436" t="s">
        <v>891</v>
      </c>
      <c r="B158" s="434"/>
      <c r="C158" s="432" t="s">
        <v>892</v>
      </c>
      <c r="D158" s="432" t="s">
        <v>890</v>
      </c>
      <c r="E158" s="431">
        <v>4.7E-2</v>
      </c>
      <c r="F158" s="430" t="s">
        <v>641</v>
      </c>
      <c r="G158" s="435">
        <v>0.01</v>
      </c>
      <c r="H158" s="435"/>
      <c r="I158" s="435"/>
      <c r="J158" s="435"/>
      <c r="K158" s="435"/>
      <c r="L158" s="435"/>
      <c r="M158" s="435"/>
      <c r="N158" s="435"/>
      <c r="O158" s="435"/>
      <c r="P158" s="435"/>
      <c r="Q158" s="435"/>
      <c r="R158" s="435">
        <v>2.5000000000000001E-3</v>
      </c>
      <c r="S158" s="435"/>
      <c r="T158" s="435"/>
      <c r="U158" s="435"/>
      <c r="V158" s="435"/>
      <c r="W158" s="433">
        <v>5.9500000000000004E-2</v>
      </c>
      <c r="X158" s="18"/>
    </row>
    <row r="159" spans="1:24" x14ac:dyDescent="0.15">
      <c r="A159" s="525"/>
      <c r="B159" s="526"/>
      <c r="C159" s="526"/>
      <c r="D159" s="526"/>
      <c r="E159" s="527"/>
      <c r="F159" s="527" t="s">
        <v>609</v>
      </c>
      <c r="G159" s="527"/>
      <c r="H159" s="527"/>
      <c r="I159" s="527"/>
      <c r="J159" s="527"/>
      <c r="K159" s="527"/>
      <c r="L159" s="527"/>
      <c r="M159" s="527"/>
      <c r="N159" s="527"/>
      <c r="O159" s="527"/>
      <c r="P159" s="527"/>
      <c r="Q159" s="527"/>
      <c r="R159" s="527"/>
      <c r="S159" s="527"/>
      <c r="T159" s="527"/>
      <c r="U159" s="527"/>
      <c r="V159" s="527"/>
      <c r="W159" s="527"/>
      <c r="X159" s="18"/>
    </row>
    <row r="160" spans="1:24" x14ac:dyDescent="0.15">
      <c r="A160" s="436" t="s">
        <v>893</v>
      </c>
      <c r="B160" s="434"/>
      <c r="C160" s="432" t="s">
        <v>894</v>
      </c>
      <c r="D160" s="432" t="s">
        <v>894</v>
      </c>
      <c r="E160" s="431">
        <v>4.7E-2</v>
      </c>
      <c r="F160" s="430" t="s">
        <v>641</v>
      </c>
      <c r="G160" s="435">
        <v>0.01</v>
      </c>
      <c r="H160" s="435"/>
      <c r="I160" s="435"/>
      <c r="J160" s="435"/>
      <c r="K160" s="435"/>
      <c r="L160" s="435"/>
      <c r="M160" s="435"/>
      <c r="N160" s="435"/>
      <c r="O160" s="435"/>
      <c r="P160" s="435"/>
      <c r="Q160" s="435"/>
      <c r="R160" s="435">
        <v>2.5000000000000001E-3</v>
      </c>
      <c r="S160" s="435"/>
      <c r="T160" s="435"/>
      <c r="U160" s="435"/>
      <c r="V160" s="435"/>
      <c r="W160" s="433">
        <v>5.9500000000000004E-2</v>
      </c>
      <c r="X160" s="18"/>
    </row>
    <row r="161" spans="1:24" x14ac:dyDescent="0.15">
      <c r="A161" s="436" t="s">
        <v>895</v>
      </c>
      <c r="B161" s="434"/>
      <c r="C161" s="432" t="s">
        <v>896</v>
      </c>
      <c r="D161" s="432" t="s">
        <v>894</v>
      </c>
      <c r="E161" s="431">
        <v>4.7E-2</v>
      </c>
      <c r="F161" s="430" t="s">
        <v>641</v>
      </c>
      <c r="G161" s="435">
        <v>0.01</v>
      </c>
      <c r="H161" s="435"/>
      <c r="I161" s="435"/>
      <c r="J161" s="435"/>
      <c r="K161" s="435"/>
      <c r="L161" s="435"/>
      <c r="M161" s="435"/>
      <c r="N161" s="435"/>
      <c r="O161" s="435"/>
      <c r="P161" s="435"/>
      <c r="Q161" s="435"/>
      <c r="R161" s="435">
        <v>2.5000000000000001E-3</v>
      </c>
      <c r="S161" s="435"/>
      <c r="T161" s="435"/>
      <c r="U161" s="435"/>
      <c r="V161" s="435"/>
      <c r="W161" s="433">
        <v>5.9500000000000004E-2</v>
      </c>
      <c r="X161" s="18"/>
    </row>
    <row r="162" spans="1:24" x14ac:dyDescent="0.15">
      <c r="A162" s="436" t="s">
        <v>897</v>
      </c>
      <c r="B162" s="434"/>
      <c r="C162" s="432" t="s">
        <v>898</v>
      </c>
      <c r="D162" s="432" t="s">
        <v>894</v>
      </c>
      <c r="E162" s="431">
        <v>4.7E-2</v>
      </c>
      <c r="F162" s="430" t="s">
        <v>641</v>
      </c>
      <c r="G162" s="435">
        <v>0.01</v>
      </c>
      <c r="H162" s="435"/>
      <c r="I162" s="435"/>
      <c r="J162" s="435"/>
      <c r="K162" s="435"/>
      <c r="L162" s="435"/>
      <c r="M162" s="435"/>
      <c r="N162" s="435"/>
      <c r="O162" s="435"/>
      <c r="P162" s="435"/>
      <c r="Q162" s="435"/>
      <c r="R162" s="435">
        <v>2.5000000000000001E-3</v>
      </c>
      <c r="S162" s="435"/>
      <c r="T162" s="435"/>
      <c r="U162" s="435"/>
      <c r="V162" s="435"/>
      <c r="W162" s="433">
        <v>5.9500000000000004E-2</v>
      </c>
      <c r="X162" s="18"/>
    </row>
    <row r="163" spans="1:24" x14ac:dyDescent="0.15">
      <c r="A163" s="436" t="s">
        <v>899</v>
      </c>
      <c r="B163" s="434"/>
      <c r="C163" s="432" t="s">
        <v>900</v>
      </c>
      <c r="D163" s="432" t="s">
        <v>894</v>
      </c>
      <c r="E163" s="431">
        <v>4.7E-2</v>
      </c>
      <c r="F163" s="430" t="s">
        <v>641</v>
      </c>
      <c r="G163" s="435">
        <v>0.01</v>
      </c>
      <c r="H163" s="435"/>
      <c r="I163" s="435"/>
      <c r="J163" s="435"/>
      <c r="K163" s="435"/>
      <c r="L163" s="435"/>
      <c r="M163" s="435"/>
      <c r="N163" s="435"/>
      <c r="O163" s="435"/>
      <c r="P163" s="435"/>
      <c r="Q163" s="435"/>
      <c r="R163" s="435">
        <v>2.5000000000000001E-3</v>
      </c>
      <c r="S163" s="435"/>
      <c r="T163" s="435"/>
      <c r="U163" s="435"/>
      <c r="V163" s="435"/>
      <c r="W163" s="433">
        <v>5.9500000000000004E-2</v>
      </c>
      <c r="X163" s="18"/>
    </row>
    <row r="164" spans="1:24" x14ac:dyDescent="0.15">
      <c r="A164" s="436" t="s">
        <v>901</v>
      </c>
      <c r="B164" s="434"/>
      <c r="C164" s="432" t="s">
        <v>902</v>
      </c>
      <c r="D164" s="432" t="s">
        <v>894</v>
      </c>
      <c r="E164" s="431">
        <v>4.7E-2</v>
      </c>
      <c r="F164" s="430" t="s">
        <v>641</v>
      </c>
      <c r="G164" s="435">
        <v>0.01</v>
      </c>
      <c r="H164" s="435"/>
      <c r="I164" s="435"/>
      <c r="J164" s="435"/>
      <c r="K164" s="435"/>
      <c r="L164" s="435"/>
      <c r="M164" s="435"/>
      <c r="N164" s="435"/>
      <c r="O164" s="435"/>
      <c r="P164" s="435"/>
      <c r="Q164" s="435"/>
      <c r="R164" s="435">
        <v>2.5000000000000001E-3</v>
      </c>
      <c r="S164" s="435"/>
      <c r="T164" s="435"/>
      <c r="U164" s="435"/>
      <c r="V164" s="435"/>
      <c r="W164" s="433">
        <v>5.9500000000000004E-2</v>
      </c>
      <c r="X164" s="18"/>
    </row>
    <row r="165" spans="1:24" x14ac:dyDescent="0.15">
      <c r="A165" s="525"/>
      <c r="B165" s="526"/>
      <c r="C165" s="526"/>
      <c r="D165" s="526"/>
      <c r="E165" s="527"/>
      <c r="F165" s="527" t="s">
        <v>609</v>
      </c>
      <c r="G165" s="527"/>
      <c r="H165" s="527"/>
      <c r="I165" s="527"/>
      <c r="J165" s="527"/>
      <c r="K165" s="527"/>
      <c r="L165" s="527"/>
      <c r="M165" s="527"/>
      <c r="N165" s="527"/>
      <c r="O165" s="527"/>
      <c r="P165" s="527"/>
      <c r="Q165" s="527"/>
      <c r="R165" s="527"/>
      <c r="S165" s="527"/>
      <c r="T165" s="527"/>
      <c r="U165" s="527"/>
      <c r="V165" s="527"/>
      <c r="W165" s="527"/>
      <c r="X165" s="18"/>
    </row>
    <row r="166" spans="1:24" x14ac:dyDescent="0.15">
      <c r="A166" s="436" t="s">
        <v>903</v>
      </c>
      <c r="B166" s="434"/>
      <c r="C166" s="432" t="s">
        <v>904</v>
      </c>
      <c r="D166" s="432" t="s">
        <v>904</v>
      </c>
      <c r="E166" s="431">
        <v>4.7E-2</v>
      </c>
      <c r="F166" s="430" t="s">
        <v>641</v>
      </c>
      <c r="G166" s="435">
        <v>0.01</v>
      </c>
      <c r="H166" s="435"/>
      <c r="I166" s="435"/>
      <c r="J166" s="435"/>
      <c r="K166" s="435"/>
      <c r="L166" s="435"/>
      <c r="M166" s="435"/>
      <c r="N166" s="435"/>
      <c r="O166" s="435"/>
      <c r="P166" s="435"/>
      <c r="Q166" s="435"/>
      <c r="R166" s="435">
        <v>2.5000000000000001E-3</v>
      </c>
      <c r="S166" s="435"/>
      <c r="T166" s="435"/>
      <c r="U166" s="435"/>
      <c r="V166" s="435"/>
      <c r="W166" s="433">
        <v>5.9500000000000004E-2</v>
      </c>
      <c r="X166" s="18"/>
    </row>
    <row r="167" spans="1:24" x14ac:dyDescent="0.15">
      <c r="A167" s="436" t="s">
        <v>905</v>
      </c>
      <c r="B167" s="434"/>
      <c r="C167" s="432" t="s">
        <v>906</v>
      </c>
      <c r="D167" s="432" t="s">
        <v>906</v>
      </c>
      <c r="E167" s="431">
        <v>4.7E-2</v>
      </c>
      <c r="F167" s="430" t="s">
        <v>641</v>
      </c>
      <c r="G167" s="435">
        <v>0.01</v>
      </c>
      <c r="H167" s="435"/>
      <c r="I167" s="435"/>
      <c r="J167" s="435"/>
      <c r="K167" s="435"/>
      <c r="L167" s="435"/>
      <c r="M167" s="435"/>
      <c r="N167" s="435"/>
      <c r="O167" s="435"/>
      <c r="P167" s="435"/>
      <c r="Q167" s="435"/>
      <c r="R167" s="435">
        <v>2.5000000000000001E-3</v>
      </c>
      <c r="S167" s="435"/>
      <c r="T167" s="435"/>
      <c r="U167" s="435">
        <v>1.0999999999999999E-2</v>
      </c>
      <c r="V167" s="435">
        <v>5.0000000000000001E-3</v>
      </c>
      <c r="W167" s="433">
        <v>7.5500000000000012E-2</v>
      </c>
      <c r="X167" s="18"/>
    </row>
    <row r="168" spans="1:24" x14ac:dyDescent="0.15">
      <c r="A168" s="436" t="s">
        <v>907</v>
      </c>
      <c r="B168" s="434"/>
      <c r="C168" s="432" t="s">
        <v>908</v>
      </c>
      <c r="D168" s="432" t="s">
        <v>904</v>
      </c>
      <c r="E168" s="431">
        <v>4.7E-2</v>
      </c>
      <c r="F168" s="430" t="s">
        <v>641</v>
      </c>
      <c r="G168" s="435">
        <v>0.01</v>
      </c>
      <c r="H168" s="435"/>
      <c r="I168" s="435"/>
      <c r="J168" s="435"/>
      <c r="K168" s="435"/>
      <c r="L168" s="435"/>
      <c r="M168" s="435"/>
      <c r="N168" s="435"/>
      <c r="O168" s="435"/>
      <c r="P168" s="435"/>
      <c r="Q168" s="435"/>
      <c r="R168" s="435">
        <v>2.5000000000000001E-3</v>
      </c>
      <c r="S168" s="435"/>
      <c r="T168" s="435"/>
      <c r="U168" s="435"/>
      <c r="V168" s="435"/>
      <c r="W168" s="433">
        <v>5.9500000000000004E-2</v>
      </c>
      <c r="X168" s="18"/>
    </row>
    <row r="169" spans="1:24" x14ac:dyDescent="0.15">
      <c r="A169" s="436" t="s">
        <v>909</v>
      </c>
      <c r="B169" s="434"/>
      <c r="C169" s="432" t="s">
        <v>910</v>
      </c>
      <c r="D169" s="432" t="s">
        <v>904</v>
      </c>
      <c r="E169" s="431">
        <v>4.7E-2</v>
      </c>
      <c r="F169" s="430" t="s">
        <v>641</v>
      </c>
      <c r="G169" s="435">
        <v>0.01</v>
      </c>
      <c r="H169" s="435"/>
      <c r="I169" s="435"/>
      <c r="J169" s="435"/>
      <c r="K169" s="435"/>
      <c r="L169" s="435"/>
      <c r="M169" s="435"/>
      <c r="N169" s="435"/>
      <c r="O169" s="435"/>
      <c r="P169" s="435"/>
      <c r="Q169" s="435"/>
      <c r="R169" s="435">
        <v>2.5000000000000001E-3</v>
      </c>
      <c r="S169" s="435"/>
      <c r="T169" s="435"/>
      <c r="U169" s="435"/>
      <c r="V169" s="435"/>
      <c r="W169" s="433">
        <v>5.9500000000000004E-2</v>
      </c>
      <c r="X169" s="18"/>
    </row>
    <row r="170" spans="1:24" x14ac:dyDescent="0.15">
      <c r="A170" s="436" t="s">
        <v>911</v>
      </c>
      <c r="B170" s="434"/>
      <c r="C170" s="432" t="s">
        <v>912</v>
      </c>
      <c r="D170" s="432" t="s">
        <v>904</v>
      </c>
      <c r="E170" s="431">
        <v>4.7E-2</v>
      </c>
      <c r="F170" s="430" t="s">
        <v>641</v>
      </c>
      <c r="G170" s="435">
        <v>0.01</v>
      </c>
      <c r="H170" s="435"/>
      <c r="I170" s="435"/>
      <c r="J170" s="435"/>
      <c r="K170" s="435"/>
      <c r="L170" s="435"/>
      <c r="M170" s="435"/>
      <c r="N170" s="435"/>
      <c r="O170" s="435"/>
      <c r="P170" s="435"/>
      <c r="Q170" s="435"/>
      <c r="R170" s="435">
        <v>2.5000000000000001E-3</v>
      </c>
      <c r="S170" s="435"/>
      <c r="T170" s="435"/>
      <c r="U170" s="435"/>
      <c r="V170" s="435"/>
      <c r="W170" s="433">
        <v>5.9500000000000004E-2</v>
      </c>
      <c r="X170" s="18"/>
    </row>
    <row r="171" spans="1:24" x14ac:dyDescent="0.15">
      <c r="A171" s="525"/>
      <c r="B171" s="526"/>
      <c r="C171" s="526"/>
      <c r="D171" s="526"/>
      <c r="E171" s="527"/>
      <c r="F171" s="527" t="s">
        <v>609</v>
      </c>
      <c r="G171" s="527"/>
      <c r="H171" s="527"/>
      <c r="I171" s="527"/>
      <c r="J171" s="527"/>
      <c r="K171" s="527"/>
      <c r="L171" s="527"/>
      <c r="M171" s="527"/>
      <c r="N171" s="527"/>
      <c r="O171" s="527"/>
      <c r="P171" s="527"/>
      <c r="Q171" s="527"/>
      <c r="R171" s="527"/>
      <c r="S171" s="527"/>
      <c r="T171" s="527"/>
      <c r="U171" s="527"/>
      <c r="V171" s="527"/>
      <c r="W171" s="527"/>
      <c r="X171" s="18"/>
    </row>
    <row r="172" spans="1:24" x14ac:dyDescent="0.15">
      <c r="A172" s="436" t="s">
        <v>42</v>
      </c>
      <c r="B172" s="434"/>
      <c r="C172" s="432" t="s">
        <v>913</v>
      </c>
      <c r="D172" s="432" t="s">
        <v>913</v>
      </c>
      <c r="E172" s="431">
        <v>4.7E-2</v>
      </c>
      <c r="F172" s="430" t="s">
        <v>641</v>
      </c>
      <c r="G172" s="435">
        <v>0.01</v>
      </c>
      <c r="H172" s="435">
        <v>3.0000000000000001E-3</v>
      </c>
      <c r="I172" s="435">
        <v>2.5000000000000001E-3</v>
      </c>
      <c r="J172" s="435"/>
      <c r="K172" s="435">
        <v>2.5000000000000001E-3</v>
      </c>
      <c r="L172" s="435"/>
      <c r="M172" s="435"/>
      <c r="N172" s="435"/>
      <c r="O172" s="435">
        <v>1E-3</v>
      </c>
      <c r="P172" s="435"/>
      <c r="Q172" s="435"/>
      <c r="R172" s="435">
        <v>2.5000000000000001E-3</v>
      </c>
      <c r="S172" s="435"/>
      <c r="T172" s="435"/>
      <c r="U172" s="435"/>
      <c r="V172" s="435"/>
      <c r="W172" s="433">
        <v>6.8500000000000005E-2</v>
      </c>
      <c r="X172" s="18"/>
    </row>
    <row r="173" spans="1:24" x14ac:dyDescent="0.15">
      <c r="A173" s="436" t="s">
        <v>914</v>
      </c>
      <c r="B173" s="434"/>
      <c r="C173" s="432" t="s">
        <v>915</v>
      </c>
      <c r="D173" s="432" t="s">
        <v>915</v>
      </c>
      <c r="E173" s="431">
        <v>4.7E-2</v>
      </c>
      <c r="F173" s="430" t="s">
        <v>641</v>
      </c>
      <c r="G173" s="435">
        <v>0.01</v>
      </c>
      <c r="H173" s="435">
        <v>3.0000000000000001E-3</v>
      </c>
      <c r="I173" s="435">
        <v>2.5000000000000001E-3</v>
      </c>
      <c r="J173" s="435"/>
      <c r="K173" s="435">
        <v>2.5000000000000001E-3</v>
      </c>
      <c r="L173" s="435"/>
      <c r="M173" s="435"/>
      <c r="N173" s="435"/>
      <c r="O173" s="435">
        <v>1E-3</v>
      </c>
      <c r="P173" s="435"/>
      <c r="Q173" s="435"/>
      <c r="R173" s="435">
        <v>2.5000000000000001E-3</v>
      </c>
      <c r="S173" s="435"/>
      <c r="T173" s="435"/>
      <c r="U173" s="435">
        <v>0.01</v>
      </c>
      <c r="V173" s="435">
        <v>5.0000000000000001E-3</v>
      </c>
      <c r="W173" s="433">
        <v>8.3500000000000005E-2</v>
      </c>
      <c r="X173" s="18"/>
    </row>
    <row r="174" spans="1:24" x14ac:dyDescent="0.15">
      <c r="A174" s="436" t="s">
        <v>916</v>
      </c>
      <c r="B174" s="434"/>
      <c r="C174" s="529" t="s">
        <v>917</v>
      </c>
      <c r="D174" s="529" t="s">
        <v>913</v>
      </c>
      <c r="E174" s="431">
        <v>4.7E-2</v>
      </c>
      <c r="F174" s="430" t="s">
        <v>641</v>
      </c>
      <c r="G174" s="435">
        <v>0.01</v>
      </c>
      <c r="H174" s="435">
        <v>3.0000000000000001E-3</v>
      </c>
      <c r="I174" s="435">
        <v>2.5000000000000001E-3</v>
      </c>
      <c r="J174" s="435"/>
      <c r="K174" s="435">
        <v>2.5000000000000001E-3</v>
      </c>
      <c r="L174" s="435"/>
      <c r="M174" s="435"/>
      <c r="N174" s="435"/>
      <c r="O174" s="435">
        <v>1E-3</v>
      </c>
      <c r="P174" s="435"/>
      <c r="Q174" s="435"/>
      <c r="R174" s="435">
        <v>2.5000000000000001E-3</v>
      </c>
      <c r="S174" s="435"/>
      <c r="T174" s="435"/>
      <c r="U174" s="435"/>
      <c r="V174" s="435"/>
      <c r="W174" s="433">
        <v>6.8500000000000005E-2</v>
      </c>
      <c r="X174" s="18"/>
    </row>
    <row r="175" spans="1:24" x14ac:dyDescent="0.15">
      <c r="A175" s="436" t="s">
        <v>918</v>
      </c>
      <c r="B175" s="434"/>
      <c r="C175" s="529" t="s">
        <v>919</v>
      </c>
      <c r="D175" s="529" t="s">
        <v>913</v>
      </c>
      <c r="E175" s="431">
        <v>4.7E-2</v>
      </c>
      <c r="F175" s="430" t="s">
        <v>641</v>
      </c>
      <c r="G175" s="435">
        <v>0.01</v>
      </c>
      <c r="H175" s="435">
        <v>3.0000000000000001E-3</v>
      </c>
      <c r="I175" s="435">
        <v>2.5000000000000001E-3</v>
      </c>
      <c r="J175" s="435"/>
      <c r="K175" s="435">
        <v>2.5000000000000001E-3</v>
      </c>
      <c r="L175" s="435"/>
      <c r="M175" s="435"/>
      <c r="N175" s="435"/>
      <c r="O175" s="435">
        <v>1E-3</v>
      </c>
      <c r="P175" s="435"/>
      <c r="Q175" s="435"/>
      <c r="R175" s="435">
        <v>2.5000000000000001E-3</v>
      </c>
      <c r="S175" s="435"/>
      <c r="T175" s="435"/>
      <c r="U175" s="435"/>
      <c r="V175" s="435"/>
      <c r="W175" s="433">
        <v>6.8500000000000005E-2</v>
      </c>
      <c r="X175" s="18"/>
    </row>
    <row r="176" spans="1:24" x14ac:dyDescent="0.15">
      <c r="A176" s="436" t="s">
        <v>920</v>
      </c>
      <c r="B176" s="434"/>
      <c r="C176" s="432" t="s">
        <v>921</v>
      </c>
      <c r="D176" s="432" t="s">
        <v>913</v>
      </c>
      <c r="E176" s="431">
        <v>4.7E-2</v>
      </c>
      <c r="F176" s="430" t="s">
        <v>641</v>
      </c>
      <c r="G176" s="435">
        <v>0.01</v>
      </c>
      <c r="H176" s="435">
        <v>3.0000000000000001E-3</v>
      </c>
      <c r="I176" s="435">
        <v>2.5000000000000001E-3</v>
      </c>
      <c r="J176" s="435"/>
      <c r="K176" s="435">
        <v>2.5000000000000001E-3</v>
      </c>
      <c r="L176" s="435"/>
      <c r="M176" s="435"/>
      <c r="N176" s="435"/>
      <c r="O176" s="435">
        <v>1E-3</v>
      </c>
      <c r="P176" s="435"/>
      <c r="Q176" s="435"/>
      <c r="R176" s="435">
        <v>2.5000000000000001E-3</v>
      </c>
      <c r="S176" s="435"/>
      <c r="T176" s="435"/>
      <c r="U176" s="435"/>
      <c r="V176" s="435"/>
      <c r="W176" s="433">
        <v>6.8500000000000005E-2</v>
      </c>
      <c r="X176" s="18"/>
    </row>
    <row r="177" spans="1:24" x14ac:dyDescent="0.15">
      <c r="A177" s="436" t="s">
        <v>922</v>
      </c>
      <c r="B177" s="434"/>
      <c r="C177" s="529" t="s">
        <v>923</v>
      </c>
      <c r="D177" s="529" t="s">
        <v>913</v>
      </c>
      <c r="E177" s="431">
        <v>4.7E-2</v>
      </c>
      <c r="F177" s="430" t="s">
        <v>641</v>
      </c>
      <c r="G177" s="435">
        <v>0.01</v>
      </c>
      <c r="H177" s="435">
        <v>3.0000000000000001E-3</v>
      </c>
      <c r="I177" s="435">
        <v>2.5000000000000001E-3</v>
      </c>
      <c r="J177" s="435"/>
      <c r="K177" s="435">
        <v>2.5000000000000001E-3</v>
      </c>
      <c r="L177" s="435"/>
      <c r="M177" s="435"/>
      <c r="N177" s="435"/>
      <c r="O177" s="435">
        <v>1E-3</v>
      </c>
      <c r="P177" s="435"/>
      <c r="Q177" s="435"/>
      <c r="R177" s="435">
        <v>2.5000000000000001E-3</v>
      </c>
      <c r="S177" s="435"/>
      <c r="T177" s="435"/>
      <c r="U177" s="435"/>
      <c r="V177" s="435"/>
      <c r="W177" s="433">
        <v>6.8500000000000005E-2</v>
      </c>
      <c r="X177" s="18"/>
    </row>
    <row r="178" spans="1:24" x14ac:dyDescent="0.15">
      <c r="A178" s="530" t="s">
        <v>924</v>
      </c>
      <c r="B178" s="528"/>
      <c r="C178" s="529" t="s">
        <v>925</v>
      </c>
      <c r="D178" s="529" t="s">
        <v>913</v>
      </c>
      <c r="E178" s="431">
        <v>4.7E-2</v>
      </c>
      <c r="F178" s="430" t="s">
        <v>641</v>
      </c>
      <c r="G178" s="435">
        <v>0.01</v>
      </c>
      <c r="H178" s="435">
        <v>3.0000000000000001E-3</v>
      </c>
      <c r="I178" s="435">
        <v>2.5000000000000001E-3</v>
      </c>
      <c r="J178" s="435"/>
      <c r="K178" s="435">
        <v>2.5000000000000001E-3</v>
      </c>
      <c r="L178" s="435"/>
      <c r="M178" s="435"/>
      <c r="N178" s="435"/>
      <c r="O178" s="435">
        <v>1E-3</v>
      </c>
      <c r="P178" s="435"/>
      <c r="Q178" s="435"/>
      <c r="R178" s="435">
        <v>2.5000000000000001E-3</v>
      </c>
      <c r="S178" s="435"/>
      <c r="T178" s="435"/>
      <c r="U178" s="435"/>
      <c r="V178" s="435"/>
      <c r="W178" s="433">
        <v>6.8500000000000005E-2</v>
      </c>
      <c r="X178" s="18"/>
    </row>
    <row r="179" spans="1:24" x14ac:dyDescent="0.15">
      <c r="A179" s="436" t="s">
        <v>926</v>
      </c>
      <c r="B179" s="434"/>
      <c r="C179" s="432" t="s">
        <v>927</v>
      </c>
      <c r="D179" s="432" t="s">
        <v>913</v>
      </c>
      <c r="E179" s="431">
        <v>4.7E-2</v>
      </c>
      <c r="F179" s="430" t="s">
        <v>641</v>
      </c>
      <c r="G179" s="435">
        <v>0.01</v>
      </c>
      <c r="H179" s="435">
        <v>3.0000000000000001E-3</v>
      </c>
      <c r="I179" s="435">
        <v>2.5000000000000001E-3</v>
      </c>
      <c r="J179" s="435"/>
      <c r="K179" s="435">
        <v>2.5000000000000001E-3</v>
      </c>
      <c r="L179" s="435"/>
      <c r="M179" s="435"/>
      <c r="N179" s="435"/>
      <c r="O179" s="435">
        <v>1E-3</v>
      </c>
      <c r="P179" s="435"/>
      <c r="Q179" s="435"/>
      <c r="R179" s="435">
        <v>2.5000000000000001E-3</v>
      </c>
      <c r="S179" s="435"/>
      <c r="T179" s="435"/>
      <c r="U179" s="435"/>
      <c r="V179" s="435"/>
      <c r="W179" s="433">
        <v>6.8500000000000005E-2</v>
      </c>
      <c r="X179" s="18"/>
    </row>
    <row r="180" spans="1:24" x14ac:dyDescent="0.15">
      <c r="A180" s="436" t="s">
        <v>928</v>
      </c>
      <c r="B180" s="434"/>
      <c r="C180" s="432" t="s">
        <v>929</v>
      </c>
      <c r="D180" s="432" t="s">
        <v>913</v>
      </c>
      <c r="E180" s="431">
        <v>4.7E-2</v>
      </c>
      <c r="F180" s="430" t="s">
        <v>641</v>
      </c>
      <c r="G180" s="435">
        <v>0.01</v>
      </c>
      <c r="H180" s="435">
        <v>3.0000000000000001E-3</v>
      </c>
      <c r="I180" s="435">
        <v>2.5000000000000001E-3</v>
      </c>
      <c r="J180" s="435"/>
      <c r="K180" s="435">
        <v>2.5000000000000001E-3</v>
      </c>
      <c r="L180" s="435"/>
      <c r="M180" s="435"/>
      <c r="N180" s="435"/>
      <c r="O180" s="435">
        <v>1E-3</v>
      </c>
      <c r="P180" s="435"/>
      <c r="Q180" s="435"/>
      <c r="R180" s="435">
        <v>2.5000000000000001E-3</v>
      </c>
      <c r="S180" s="435"/>
      <c r="T180" s="435"/>
      <c r="U180" s="435"/>
      <c r="V180" s="435"/>
      <c r="W180" s="433">
        <v>6.8500000000000005E-2</v>
      </c>
      <c r="X180" s="18"/>
    </row>
    <row r="181" spans="1:24" x14ac:dyDescent="0.15">
      <c r="A181" s="436" t="s">
        <v>930</v>
      </c>
      <c r="B181" s="434"/>
      <c r="C181" s="432" t="s">
        <v>931</v>
      </c>
      <c r="D181" s="432" t="s">
        <v>913</v>
      </c>
      <c r="E181" s="431">
        <v>4.7E-2</v>
      </c>
      <c r="F181" s="430" t="s">
        <v>641</v>
      </c>
      <c r="G181" s="435">
        <v>0.01</v>
      </c>
      <c r="H181" s="435">
        <v>3.0000000000000001E-3</v>
      </c>
      <c r="I181" s="435">
        <v>2.5000000000000001E-3</v>
      </c>
      <c r="J181" s="435"/>
      <c r="K181" s="435">
        <v>2.5000000000000001E-3</v>
      </c>
      <c r="L181" s="435"/>
      <c r="M181" s="435"/>
      <c r="N181" s="435"/>
      <c r="O181" s="435">
        <v>1E-3</v>
      </c>
      <c r="P181" s="435"/>
      <c r="Q181" s="435"/>
      <c r="R181" s="435">
        <v>2.5000000000000001E-3</v>
      </c>
      <c r="S181" s="435"/>
      <c r="T181" s="435"/>
      <c r="U181" s="435"/>
      <c r="V181" s="435"/>
      <c r="W181" s="433">
        <v>6.8500000000000005E-2</v>
      </c>
      <c r="X181" s="18"/>
    </row>
    <row r="182" spans="1:24" x14ac:dyDescent="0.15">
      <c r="A182" s="436" t="s">
        <v>932</v>
      </c>
      <c r="B182" s="434"/>
      <c r="C182" s="432" t="s">
        <v>933</v>
      </c>
      <c r="D182" s="432" t="s">
        <v>913</v>
      </c>
      <c r="E182" s="431">
        <v>4.7E-2</v>
      </c>
      <c r="F182" s="430" t="s">
        <v>641</v>
      </c>
      <c r="G182" s="435">
        <v>0.01</v>
      </c>
      <c r="H182" s="435">
        <v>3.0000000000000001E-3</v>
      </c>
      <c r="I182" s="435">
        <v>2.5000000000000001E-3</v>
      </c>
      <c r="J182" s="435"/>
      <c r="K182" s="435">
        <v>2.5000000000000001E-3</v>
      </c>
      <c r="L182" s="435"/>
      <c r="M182" s="435"/>
      <c r="N182" s="435"/>
      <c r="O182" s="435">
        <v>1E-3</v>
      </c>
      <c r="P182" s="435"/>
      <c r="Q182" s="435"/>
      <c r="R182" s="435">
        <v>2.5000000000000001E-3</v>
      </c>
      <c r="S182" s="435"/>
      <c r="T182" s="435"/>
      <c r="U182" s="435"/>
      <c r="V182" s="435"/>
      <c r="W182" s="433">
        <v>6.8500000000000005E-2</v>
      </c>
      <c r="X182" s="18"/>
    </row>
    <row r="183" spans="1:24" x14ac:dyDescent="0.15">
      <c r="A183" s="436" t="s">
        <v>934</v>
      </c>
      <c r="B183" s="434"/>
      <c r="C183" s="432" t="s">
        <v>935</v>
      </c>
      <c r="D183" s="432" t="s">
        <v>913</v>
      </c>
      <c r="E183" s="431">
        <v>4.7E-2</v>
      </c>
      <c r="F183" s="430" t="s">
        <v>641</v>
      </c>
      <c r="G183" s="435">
        <v>0.01</v>
      </c>
      <c r="H183" s="435">
        <v>3.0000000000000001E-3</v>
      </c>
      <c r="I183" s="435">
        <v>2.5000000000000001E-3</v>
      </c>
      <c r="J183" s="435"/>
      <c r="K183" s="435">
        <v>2.5000000000000001E-3</v>
      </c>
      <c r="L183" s="435"/>
      <c r="M183" s="435"/>
      <c r="N183" s="435"/>
      <c r="O183" s="435">
        <v>1E-3</v>
      </c>
      <c r="P183" s="435"/>
      <c r="Q183" s="435"/>
      <c r="R183" s="435">
        <v>2.5000000000000001E-3</v>
      </c>
      <c r="S183" s="435"/>
      <c r="T183" s="435"/>
      <c r="U183" s="435"/>
      <c r="V183" s="435"/>
      <c r="W183" s="433">
        <v>6.8500000000000005E-2</v>
      </c>
      <c r="X183" s="18"/>
    </row>
    <row r="184" spans="1:24" x14ac:dyDescent="0.15">
      <c r="A184" s="436" t="s">
        <v>936</v>
      </c>
      <c r="B184" s="434"/>
      <c r="C184" s="432" t="s">
        <v>937</v>
      </c>
      <c r="D184" s="432" t="s">
        <v>913</v>
      </c>
      <c r="E184" s="431">
        <v>4.7E-2</v>
      </c>
      <c r="F184" s="430" t="s">
        <v>641</v>
      </c>
      <c r="G184" s="435">
        <v>0.01</v>
      </c>
      <c r="H184" s="435">
        <v>3.0000000000000001E-3</v>
      </c>
      <c r="I184" s="435">
        <v>2.5000000000000001E-3</v>
      </c>
      <c r="J184" s="435"/>
      <c r="K184" s="435">
        <v>2.5000000000000001E-3</v>
      </c>
      <c r="L184" s="435"/>
      <c r="M184" s="435"/>
      <c r="N184" s="435"/>
      <c r="O184" s="435">
        <v>1E-3</v>
      </c>
      <c r="P184" s="435"/>
      <c r="Q184" s="435"/>
      <c r="R184" s="435">
        <v>2.5000000000000001E-3</v>
      </c>
      <c r="S184" s="435"/>
      <c r="T184" s="435"/>
      <c r="U184" s="435"/>
      <c r="V184" s="435"/>
      <c r="W184" s="433">
        <v>6.8500000000000005E-2</v>
      </c>
      <c r="X184" s="18"/>
    </row>
    <row r="185" spans="1:24" x14ac:dyDescent="0.15">
      <c r="A185" s="436" t="s">
        <v>938</v>
      </c>
      <c r="B185" s="434"/>
      <c r="C185" s="432" t="s">
        <v>939</v>
      </c>
      <c r="D185" s="432" t="s">
        <v>939</v>
      </c>
      <c r="E185" s="431">
        <v>4.7E-2</v>
      </c>
      <c r="F185" s="430" t="s">
        <v>641</v>
      </c>
      <c r="G185" s="435">
        <v>0.01</v>
      </c>
      <c r="H185" s="435">
        <v>3.0000000000000001E-3</v>
      </c>
      <c r="I185" s="435">
        <v>2.5000000000000001E-3</v>
      </c>
      <c r="J185" s="435"/>
      <c r="K185" s="435">
        <v>2.5000000000000001E-3</v>
      </c>
      <c r="L185" s="435"/>
      <c r="M185" s="435"/>
      <c r="N185" s="435"/>
      <c r="O185" s="435">
        <v>1E-3</v>
      </c>
      <c r="P185" s="435"/>
      <c r="Q185" s="435"/>
      <c r="R185" s="435">
        <v>2.5000000000000001E-3</v>
      </c>
      <c r="S185" s="435"/>
      <c r="T185" s="435">
        <v>2E-3</v>
      </c>
      <c r="U185" s="435"/>
      <c r="V185" s="435"/>
      <c r="W185" s="433">
        <v>7.0500000000000007E-2</v>
      </c>
      <c r="X185" s="18"/>
    </row>
    <row r="186" spans="1:24" x14ac:dyDescent="0.15">
      <c r="A186" s="530" t="s">
        <v>940</v>
      </c>
      <c r="B186" s="528"/>
      <c r="C186" s="529" t="s">
        <v>941</v>
      </c>
      <c r="D186" s="529" t="s">
        <v>913</v>
      </c>
      <c r="E186" s="431">
        <v>4.7E-2</v>
      </c>
      <c r="F186" s="430" t="s">
        <v>641</v>
      </c>
      <c r="G186" s="435">
        <v>0.01</v>
      </c>
      <c r="H186" s="435">
        <v>3.0000000000000001E-3</v>
      </c>
      <c r="I186" s="435">
        <v>2.5000000000000001E-3</v>
      </c>
      <c r="J186" s="435"/>
      <c r="K186" s="435">
        <v>2.5000000000000001E-3</v>
      </c>
      <c r="L186" s="435"/>
      <c r="M186" s="435"/>
      <c r="N186" s="435"/>
      <c r="O186" s="435">
        <v>1E-3</v>
      </c>
      <c r="P186" s="435"/>
      <c r="Q186" s="435"/>
      <c r="R186" s="435">
        <v>2.5000000000000001E-3</v>
      </c>
      <c r="S186" s="435"/>
      <c r="T186" s="435"/>
      <c r="U186" s="435"/>
      <c r="V186" s="435"/>
      <c r="W186" s="433">
        <v>6.8500000000000005E-2</v>
      </c>
      <c r="X186" s="18"/>
    </row>
    <row r="187" spans="1:24" x14ac:dyDescent="0.15">
      <c r="A187" s="436" t="s">
        <v>942</v>
      </c>
      <c r="B187" s="434"/>
      <c r="C187" s="432" t="s">
        <v>943</v>
      </c>
      <c r="D187" s="432" t="s">
        <v>913</v>
      </c>
      <c r="E187" s="431">
        <v>4.7E-2</v>
      </c>
      <c r="F187" s="430" t="s">
        <v>641</v>
      </c>
      <c r="G187" s="435">
        <v>0.01</v>
      </c>
      <c r="H187" s="435">
        <v>3.0000000000000001E-3</v>
      </c>
      <c r="I187" s="435">
        <v>2.5000000000000001E-3</v>
      </c>
      <c r="J187" s="435"/>
      <c r="K187" s="435">
        <v>2.5000000000000001E-3</v>
      </c>
      <c r="L187" s="435"/>
      <c r="M187" s="435"/>
      <c r="N187" s="435"/>
      <c r="O187" s="435">
        <v>1E-3</v>
      </c>
      <c r="P187" s="435"/>
      <c r="Q187" s="435"/>
      <c r="R187" s="435">
        <v>2.5000000000000001E-3</v>
      </c>
      <c r="S187" s="435"/>
      <c r="T187" s="435"/>
      <c r="U187" s="435"/>
      <c r="V187" s="435"/>
      <c r="W187" s="433">
        <v>6.8500000000000005E-2</v>
      </c>
      <c r="X187" s="18"/>
    </row>
    <row r="188" spans="1:24" x14ac:dyDescent="0.15">
      <c r="A188" s="436" t="s">
        <v>944</v>
      </c>
      <c r="B188" s="434"/>
      <c r="C188" s="432" t="s">
        <v>945</v>
      </c>
      <c r="D188" s="432" t="s">
        <v>913</v>
      </c>
      <c r="E188" s="431">
        <v>4.7E-2</v>
      </c>
      <c r="F188" s="430" t="s">
        <v>641</v>
      </c>
      <c r="G188" s="435">
        <v>0.01</v>
      </c>
      <c r="H188" s="435">
        <v>3.0000000000000001E-3</v>
      </c>
      <c r="I188" s="435">
        <v>2.5000000000000001E-3</v>
      </c>
      <c r="J188" s="435"/>
      <c r="K188" s="435">
        <v>2.5000000000000001E-3</v>
      </c>
      <c r="L188" s="435"/>
      <c r="M188" s="435"/>
      <c r="N188" s="435"/>
      <c r="O188" s="435">
        <v>1E-3</v>
      </c>
      <c r="P188" s="435"/>
      <c r="Q188" s="435"/>
      <c r="R188" s="435">
        <v>2.5000000000000001E-3</v>
      </c>
      <c r="S188" s="435"/>
      <c r="T188" s="435"/>
      <c r="U188" s="435"/>
      <c r="V188" s="435"/>
      <c r="W188" s="433">
        <v>6.8500000000000005E-2</v>
      </c>
      <c r="X188" s="18"/>
    </row>
    <row r="189" spans="1:24" x14ac:dyDescent="0.15">
      <c r="A189" s="530" t="s">
        <v>1337</v>
      </c>
      <c r="B189" s="528" t="s">
        <v>723</v>
      </c>
      <c r="C189" s="432" t="s">
        <v>1338</v>
      </c>
      <c r="D189" s="529">
        <v>0</v>
      </c>
      <c r="E189" s="431">
        <v>4.7E-2</v>
      </c>
      <c r="F189" s="430" t="s">
        <v>641</v>
      </c>
      <c r="G189" s="435">
        <v>0.01</v>
      </c>
      <c r="H189" s="435">
        <v>3.0000000000000001E-3</v>
      </c>
      <c r="I189" s="435">
        <v>2.5000000000000001E-3</v>
      </c>
      <c r="J189" s="435"/>
      <c r="K189" s="435">
        <v>2.5000000000000001E-3</v>
      </c>
      <c r="L189" s="435"/>
      <c r="M189" s="435"/>
      <c r="N189" s="435"/>
      <c r="O189" s="435">
        <v>1E-3</v>
      </c>
      <c r="P189" s="435"/>
      <c r="Q189" s="435"/>
      <c r="R189" s="435">
        <v>2.5000000000000001E-3</v>
      </c>
      <c r="S189" s="435"/>
      <c r="T189" s="435"/>
      <c r="U189" s="435"/>
      <c r="V189" s="435"/>
      <c r="W189" s="433">
        <v>6.8500000000000005E-2</v>
      </c>
      <c r="X189" s="18"/>
    </row>
    <row r="190" spans="1:24" x14ac:dyDescent="0.15">
      <c r="A190" s="525"/>
      <c r="B190" s="526"/>
      <c r="C190" s="526"/>
      <c r="D190" s="526"/>
      <c r="E190" s="527"/>
      <c r="F190" s="527" t="s">
        <v>609</v>
      </c>
      <c r="G190" s="527"/>
      <c r="H190" s="527"/>
      <c r="I190" s="527"/>
      <c r="J190" s="527"/>
      <c r="K190" s="527"/>
      <c r="L190" s="527"/>
      <c r="M190" s="527"/>
      <c r="N190" s="527"/>
      <c r="O190" s="527"/>
      <c r="P190" s="527"/>
      <c r="Q190" s="527"/>
      <c r="R190" s="527"/>
      <c r="S190" s="527"/>
      <c r="T190" s="527"/>
      <c r="U190" s="527"/>
      <c r="V190" s="527"/>
      <c r="W190" s="527"/>
      <c r="X190" s="18"/>
    </row>
    <row r="191" spans="1:24" x14ac:dyDescent="0.15">
      <c r="A191" s="436" t="s">
        <v>946</v>
      </c>
      <c r="B191" s="434"/>
      <c r="C191" s="432" t="s">
        <v>947</v>
      </c>
      <c r="D191" s="432" t="s">
        <v>947</v>
      </c>
      <c r="E191" s="431">
        <v>4.7E-2</v>
      </c>
      <c r="F191" s="430" t="s">
        <v>641</v>
      </c>
      <c r="G191" s="435">
        <v>0.01</v>
      </c>
      <c r="H191" s="435"/>
      <c r="I191" s="435"/>
      <c r="J191" s="435"/>
      <c r="K191" s="435"/>
      <c r="L191" s="435"/>
      <c r="M191" s="435"/>
      <c r="N191" s="435"/>
      <c r="O191" s="435"/>
      <c r="P191" s="435"/>
      <c r="Q191" s="435"/>
      <c r="R191" s="435">
        <v>2.5000000000000001E-3</v>
      </c>
      <c r="S191" s="435"/>
      <c r="T191" s="435"/>
      <c r="U191" s="435"/>
      <c r="V191" s="435"/>
      <c r="W191" s="433">
        <v>5.9500000000000004E-2</v>
      </c>
      <c r="X191" s="18"/>
    </row>
    <row r="192" spans="1:24" x14ac:dyDescent="0.15">
      <c r="A192" s="436" t="s">
        <v>948</v>
      </c>
      <c r="B192" s="434"/>
      <c r="C192" s="432" t="s">
        <v>949</v>
      </c>
      <c r="D192" s="432" t="s">
        <v>949</v>
      </c>
      <c r="E192" s="431">
        <v>4.7E-2</v>
      </c>
      <c r="F192" s="430" t="s">
        <v>641</v>
      </c>
      <c r="G192" s="435">
        <v>0.01</v>
      </c>
      <c r="H192" s="435"/>
      <c r="I192" s="435"/>
      <c r="J192" s="435"/>
      <c r="K192" s="435"/>
      <c r="L192" s="435"/>
      <c r="M192" s="435"/>
      <c r="N192" s="435"/>
      <c r="O192" s="435"/>
      <c r="P192" s="435">
        <v>1E-3</v>
      </c>
      <c r="Q192" s="435">
        <v>3.0000000000000001E-3</v>
      </c>
      <c r="R192" s="435">
        <v>2.5000000000000001E-3</v>
      </c>
      <c r="S192" s="435"/>
      <c r="T192" s="435"/>
      <c r="U192" s="435"/>
      <c r="V192" s="435"/>
      <c r="W192" s="433">
        <v>6.3500000000000001E-2</v>
      </c>
      <c r="X192" s="18"/>
    </row>
    <row r="193" spans="1:24" x14ac:dyDescent="0.15">
      <c r="A193" s="436" t="s">
        <v>950</v>
      </c>
      <c r="B193" s="434"/>
      <c r="C193" s="432" t="s">
        <v>951</v>
      </c>
      <c r="D193" s="432" t="s">
        <v>951</v>
      </c>
      <c r="E193" s="431">
        <v>4.7E-2</v>
      </c>
      <c r="F193" s="430" t="s">
        <v>641</v>
      </c>
      <c r="G193" s="435">
        <v>0.01</v>
      </c>
      <c r="H193" s="435"/>
      <c r="I193" s="435"/>
      <c r="J193" s="435"/>
      <c r="K193" s="435"/>
      <c r="L193" s="435"/>
      <c r="M193" s="435"/>
      <c r="N193" s="435"/>
      <c r="O193" s="435"/>
      <c r="P193" s="435">
        <v>1E-3</v>
      </c>
      <c r="Q193" s="435">
        <v>3.0000000000000001E-3</v>
      </c>
      <c r="R193" s="435">
        <v>2.5000000000000001E-3</v>
      </c>
      <c r="S193" s="435"/>
      <c r="T193" s="435"/>
      <c r="U193" s="435"/>
      <c r="V193" s="435"/>
      <c r="W193" s="433">
        <v>6.3500000000000001E-2</v>
      </c>
      <c r="X193" s="18"/>
    </row>
    <row r="194" spans="1:24" x14ac:dyDescent="0.15">
      <c r="A194" s="525"/>
      <c r="B194" s="526"/>
      <c r="C194" s="526"/>
      <c r="D194" s="526"/>
      <c r="E194" s="527"/>
      <c r="F194" s="527" t="s">
        <v>609</v>
      </c>
      <c r="G194" s="527"/>
      <c r="H194" s="527"/>
      <c r="I194" s="527"/>
      <c r="J194" s="527"/>
      <c r="K194" s="527"/>
      <c r="L194" s="527"/>
      <c r="M194" s="527"/>
      <c r="N194" s="527"/>
      <c r="O194" s="527"/>
      <c r="P194" s="527"/>
      <c r="Q194" s="527"/>
      <c r="R194" s="527"/>
      <c r="S194" s="527"/>
      <c r="T194" s="527"/>
      <c r="U194" s="527"/>
      <c r="V194" s="527"/>
      <c r="W194" s="527"/>
      <c r="X194" s="18"/>
    </row>
    <row r="195" spans="1:24" x14ac:dyDescent="0.15">
      <c r="A195" s="436" t="s">
        <v>952</v>
      </c>
      <c r="B195" s="434"/>
      <c r="C195" s="432" t="s">
        <v>953</v>
      </c>
      <c r="D195" s="432" t="s">
        <v>953</v>
      </c>
      <c r="E195" s="431">
        <v>4.7E-2</v>
      </c>
      <c r="F195" s="430" t="s">
        <v>641</v>
      </c>
      <c r="G195" s="435">
        <v>0.01</v>
      </c>
      <c r="H195" s="435"/>
      <c r="I195" s="435"/>
      <c r="J195" s="435"/>
      <c r="K195" s="435"/>
      <c r="L195" s="435"/>
      <c r="M195" s="435"/>
      <c r="N195" s="435"/>
      <c r="O195" s="435"/>
      <c r="P195" s="435"/>
      <c r="Q195" s="435"/>
      <c r="R195" s="435">
        <v>2.5000000000000001E-3</v>
      </c>
      <c r="S195" s="435"/>
      <c r="T195" s="435"/>
      <c r="U195" s="435"/>
      <c r="V195" s="435"/>
      <c r="W195" s="433">
        <v>5.9500000000000004E-2</v>
      </c>
      <c r="X195" s="18"/>
    </row>
    <row r="196" spans="1:24" x14ac:dyDescent="0.15">
      <c r="A196" s="436" t="s">
        <v>954</v>
      </c>
      <c r="B196" s="434"/>
      <c r="C196" s="432" t="s">
        <v>955</v>
      </c>
      <c r="D196" s="432" t="s">
        <v>953</v>
      </c>
      <c r="E196" s="431">
        <v>4.7E-2</v>
      </c>
      <c r="F196" s="430" t="s">
        <v>641</v>
      </c>
      <c r="G196" s="435">
        <v>0.01</v>
      </c>
      <c r="H196" s="435"/>
      <c r="I196" s="435"/>
      <c r="J196" s="435"/>
      <c r="K196" s="435"/>
      <c r="L196" s="435"/>
      <c r="M196" s="435"/>
      <c r="N196" s="435"/>
      <c r="O196" s="435"/>
      <c r="P196" s="435"/>
      <c r="Q196" s="435"/>
      <c r="R196" s="435">
        <v>2.5000000000000001E-3</v>
      </c>
      <c r="S196" s="435"/>
      <c r="T196" s="435"/>
      <c r="U196" s="435"/>
      <c r="V196" s="435"/>
      <c r="W196" s="433">
        <v>5.9500000000000004E-2</v>
      </c>
      <c r="X196" s="18"/>
    </row>
    <row r="197" spans="1:24" x14ac:dyDescent="0.15">
      <c r="A197" s="436" t="s">
        <v>956</v>
      </c>
      <c r="B197" s="434"/>
      <c r="C197" s="432" t="s">
        <v>957</v>
      </c>
      <c r="D197" s="432" t="s">
        <v>957</v>
      </c>
      <c r="E197" s="431">
        <v>4.7E-2</v>
      </c>
      <c r="F197" s="430" t="s">
        <v>641</v>
      </c>
      <c r="G197" s="435">
        <v>0.01</v>
      </c>
      <c r="H197" s="435"/>
      <c r="I197" s="435"/>
      <c r="J197" s="435"/>
      <c r="K197" s="435"/>
      <c r="L197" s="435"/>
      <c r="M197" s="435"/>
      <c r="N197" s="435"/>
      <c r="O197" s="435"/>
      <c r="P197" s="435"/>
      <c r="Q197" s="435">
        <v>3.0000000000000001E-3</v>
      </c>
      <c r="R197" s="435">
        <v>2.5000000000000001E-3</v>
      </c>
      <c r="S197" s="435"/>
      <c r="T197" s="435"/>
      <c r="U197" s="435"/>
      <c r="V197" s="435"/>
      <c r="W197" s="433">
        <v>6.25E-2</v>
      </c>
      <c r="X197" s="18"/>
    </row>
    <row r="198" spans="1:24" x14ac:dyDescent="0.15">
      <c r="A198" s="436" t="s">
        <v>958</v>
      </c>
      <c r="B198" s="434"/>
      <c r="C198" s="432" t="s">
        <v>959</v>
      </c>
      <c r="D198" s="432" t="s">
        <v>959</v>
      </c>
      <c r="E198" s="431">
        <v>4.7E-2</v>
      </c>
      <c r="F198" s="430" t="s">
        <v>641</v>
      </c>
      <c r="G198" s="435">
        <v>0.01</v>
      </c>
      <c r="H198" s="435"/>
      <c r="I198" s="435"/>
      <c r="J198" s="435"/>
      <c r="K198" s="435"/>
      <c r="L198" s="435"/>
      <c r="M198" s="435"/>
      <c r="N198" s="435"/>
      <c r="O198" s="435"/>
      <c r="P198" s="435"/>
      <c r="Q198" s="435">
        <v>3.0000000000000001E-3</v>
      </c>
      <c r="R198" s="435">
        <v>2.5000000000000001E-3</v>
      </c>
      <c r="S198" s="435"/>
      <c r="T198" s="435"/>
      <c r="U198" s="435"/>
      <c r="V198" s="435"/>
      <c r="W198" s="433">
        <v>6.25E-2</v>
      </c>
      <c r="X198" s="18"/>
    </row>
    <row r="199" spans="1:24" x14ac:dyDescent="0.15">
      <c r="A199" s="436" t="s">
        <v>960</v>
      </c>
      <c r="B199" s="434"/>
      <c r="C199" s="432" t="s">
        <v>961</v>
      </c>
      <c r="D199" s="432" t="s">
        <v>953</v>
      </c>
      <c r="E199" s="431">
        <v>4.7E-2</v>
      </c>
      <c r="F199" s="430" t="s">
        <v>641</v>
      </c>
      <c r="G199" s="435">
        <v>0.01</v>
      </c>
      <c r="H199" s="435"/>
      <c r="I199" s="435"/>
      <c r="J199" s="435"/>
      <c r="K199" s="435"/>
      <c r="L199" s="435"/>
      <c r="M199" s="435"/>
      <c r="N199" s="435"/>
      <c r="O199" s="435"/>
      <c r="P199" s="435"/>
      <c r="Q199" s="435"/>
      <c r="R199" s="435">
        <v>2.5000000000000001E-3</v>
      </c>
      <c r="S199" s="435"/>
      <c r="T199" s="435"/>
      <c r="U199" s="435"/>
      <c r="V199" s="435"/>
      <c r="W199" s="433">
        <v>5.9500000000000004E-2</v>
      </c>
      <c r="X199" s="18"/>
    </row>
    <row r="200" spans="1:24" x14ac:dyDescent="0.15">
      <c r="A200" s="436" t="s">
        <v>962</v>
      </c>
      <c r="B200" s="434"/>
      <c r="C200" s="432" t="s">
        <v>963</v>
      </c>
      <c r="D200" s="432" t="s">
        <v>953</v>
      </c>
      <c r="E200" s="431">
        <v>4.7E-2</v>
      </c>
      <c r="F200" s="430" t="s">
        <v>641</v>
      </c>
      <c r="G200" s="435">
        <v>0.01</v>
      </c>
      <c r="H200" s="435"/>
      <c r="I200" s="435"/>
      <c r="J200" s="435"/>
      <c r="K200" s="435"/>
      <c r="L200" s="435"/>
      <c r="M200" s="435"/>
      <c r="N200" s="435"/>
      <c r="O200" s="435"/>
      <c r="P200" s="435"/>
      <c r="Q200" s="435"/>
      <c r="R200" s="435">
        <v>2.5000000000000001E-3</v>
      </c>
      <c r="S200" s="435"/>
      <c r="T200" s="435"/>
      <c r="U200" s="435"/>
      <c r="V200" s="435"/>
      <c r="W200" s="433">
        <v>5.9500000000000004E-2</v>
      </c>
      <c r="X200" s="18"/>
    </row>
    <row r="201" spans="1:24" x14ac:dyDescent="0.15">
      <c r="A201" s="530" t="s">
        <v>964</v>
      </c>
      <c r="B201" s="528"/>
      <c r="C201" s="432" t="s">
        <v>965</v>
      </c>
      <c r="D201" s="432" t="s">
        <v>965</v>
      </c>
      <c r="E201" s="431">
        <v>4.7E-2</v>
      </c>
      <c r="F201" s="430" t="s">
        <v>641</v>
      </c>
      <c r="G201" s="435">
        <v>0.01</v>
      </c>
      <c r="H201" s="435"/>
      <c r="I201" s="435"/>
      <c r="J201" s="435"/>
      <c r="K201" s="435"/>
      <c r="L201" s="435"/>
      <c r="M201" s="435"/>
      <c r="N201" s="435"/>
      <c r="O201" s="435"/>
      <c r="P201" s="435"/>
      <c r="Q201" s="435">
        <v>3.0000000000000001E-3</v>
      </c>
      <c r="R201" s="435">
        <v>2.5000000000000001E-3</v>
      </c>
      <c r="S201" s="435"/>
      <c r="T201" s="435"/>
      <c r="U201" s="435"/>
      <c r="V201" s="435"/>
      <c r="W201" s="433">
        <v>6.25E-2</v>
      </c>
      <c r="X201" s="18"/>
    </row>
    <row r="202" spans="1:24" x14ac:dyDescent="0.15">
      <c r="A202" s="436" t="s">
        <v>966</v>
      </c>
      <c r="B202" s="434"/>
      <c r="C202" s="432" t="s">
        <v>967</v>
      </c>
      <c r="D202" s="432" t="s">
        <v>953</v>
      </c>
      <c r="E202" s="431">
        <v>4.7E-2</v>
      </c>
      <c r="F202" s="430" t="s">
        <v>641</v>
      </c>
      <c r="G202" s="435">
        <v>0.01</v>
      </c>
      <c r="H202" s="435"/>
      <c r="I202" s="435"/>
      <c r="J202" s="435"/>
      <c r="K202" s="435"/>
      <c r="L202" s="435"/>
      <c r="M202" s="435"/>
      <c r="N202" s="435"/>
      <c r="O202" s="435"/>
      <c r="P202" s="435"/>
      <c r="Q202" s="435"/>
      <c r="R202" s="435">
        <v>2.5000000000000001E-3</v>
      </c>
      <c r="S202" s="435"/>
      <c r="T202" s="435"/>
      <c r="U202" s="435"/>
      <c r="V202" s="435"/>
      <c r="W202" s="433">
        <v>5.9500000000000004E-2</v>
      </c>
      <c r="X202" s="18"/>
    </row>
    <row r="203" spans="1:24" x14ac:dyDescent="0.15">
      <c r="A203" s="436" t="s">
        <v>968</v>
      </c>
      <c r="B203" s="434"/>
      <c r="C203" s="432" t="s">
        <v>969</v>
      </c>
      <c r="D203" s="432" t="s">
        <v>953</v>
      </c>
      <c r="E203" s="431">
        <v>4.7E-2</v>
      </c>
      <c r="F203" s="430" t="s">
        <v>641</v>
      </c>
      <c r="G203" s="435">
        <v>0.01</v>
      </c>
      <c r="H203" s="435"/>
      <c r="I203" s="435"/>
      <c r="J203" s="435"/>
      <c r="K203" s="435"/>
      <c r="L203" s="435"/>
      <c r="M203" s="435"/>
      <c r="N203" s="435"/>
      <c r="O203" s="435"/>
      <c r="P203" s="435"/>
      <c r="Q203" s="435"/>
      <c r="R203" s="435">
        <v>2.5000000000000001E-3</v>
      </c>
      <c r="S203" s="435"/>
      <c r="T203" s="435"/>
      <c r="U203" s="435"/>
      <c r="V203" s="435"/>
      <c r="W203" s="433">
        <v>5.9500000000000004E-2</v>
      </c>
      <c r="X203" s="18"/>
    </row>
    <row r="204" spans="1:24" x14ac:dyDescent="0.15">
      <c r="A204" s="436" t="s">
        <v>970</v>
      </c>
      <c r="B204" s="434"/>
      <c r="C204" s="432" t="s">
        <v>971</v>
      </c>
      <c r="D204" s="432" t="s">
        <v>953</v>
      </c>
      <c r="E204" s="431">
        <v>4.7E-2</v>
      </c>
      <c r="F204" s="430" t="s">
        <v>641</v>
      </c>
      <c r="G204" s="435">
        <v>0.01</v>
      </c>
      <c r="H204" s="435"/>
      <c r="I204" s="435"/>
      <c r="J204" s="435"/>
      <c r="K204" s="435"/>
      <c r="L204" s="435"/>
      <c r="M204" s="435"/>
      <c r="N204" s="435"/>
      <c r="O204" s="435"/>
      <c r="P204" s="435"/>
      <c r="Q204" s="435"/>
      <c r="R204" s="435">
        <v>2.5000000000000001E-3</v>
      </c>
      <c r="S204" s="435"/>
      <c r="T204" s="435"/>
      <c r="U204" s="435"/>
      <c r="V204" s="435"/>
      <c r="W204" s="433">
        <v>5.9500000000000004E-2</v>
      </c>
      <c r="X204" s="18"/>
    </row>
    <row r="205" spans="1:24" x14ac:dyDescent="0.15">
      <c r="A205" s="436" t="s">
        <v>972</v>
      </c>
      <c r="B205" s="434"/>
      <c r="C205" s="432" t="s">
        <v>973</v>
      </c>
      <c r="D205" s="432" t="s">
        <v>973</v>
      </c>
      <c r="E205" s="431">
        <v>4.7E-2</v>
      </c>
      <c r="F205" s="430" t="s">
        <v>641</v>
      </c>
      <c r="G205" s="435">
        <v>0.01</v>
      </c>
      <c r="H205" s="435"/>
      <c r="I205" s="435"/>
      <c r="J205" s="435"/>
      <c r="K205" s="435"/>
      <c r="L205" s="435"/>
      <c r="M205" s="435"/>
      <c r="N205" s="435"/>
      <c r="O205" s="435"/>
      <c r="P205" s="435"/>
      <c r="Q205" s="435">
        <v>3.0000000000000001E-3</v>
      </c>
      <c r="R205" s="435">
        <v>2.5000000000000001E-3</v>
      </c>
      <c r="S205" s="435"/>
      <c r="T205" s="435"/>
      <c r="U205" s="435"/>
      <c r="V205" s="435"/>
      <c r="W205" s="433">
        <v>6.25E-2</v>
      </c>
      <c r="X205" s="18"/>
    </row>
    <row r="206" spans="1:24" x14ac:dyDescent="0.15">
      <c r="A206" s="436" t="s">
        <v>974</v>
      </c>
      <c r="B206" s="434"/>
      <c r="C206" s="432" t="s">
        <v>975</v>
      </c>
      <c r="D206" s="432" t="s">
        <v>953</v>
      </c>
      <c r="E206" s="431">
        <v>4.7E-2</v>
      </c>
      <c r="F206" s="430" t="s">
        <v>641</v>
      </c>
      <c r="G206" s="435">
        <v>0.01</v>
      </c>
      <c r="H206" s="435"/>
      <c r="I206" s="435"/>
      <c r="J206" s="435"/>
      <c r="K206" s="435"/>
      <c r="L206" s="435"/>
      <c r="M206" s="435"/>
      <c r="N206" s="435"/>
      <c r="O206" s="435"/>
      <c r="P206" s="435"/>
      <c r="Q206" s="435"/>
      <c r="R206" s="435">
        <v>2.5000000000000001E-3</v>
      </c>
      <c r="S206" s="435"/>
      <c r="T206" s="435"/>
      <c r="U206" s="435"/>
      <c r="V206" s="435"/>
      <c r="W206" s="433">
        <v>5.9500000000000004E-2</v>
      </c>
      <c r="X206" s="18"/>
    </row>
    <row r="207" spans="1:24" x14ac:dyDescent="0.15">
      <c r="A207" s="436" t="s">
        <v>976</v>
      </c>
      <c r="B207" s="434"/>
      <c r="C207" s="432" t="s">
        <v>977</v>
      </c>
      <c r="D207" s="432" t="s">
        <v>953</v>
      </c>
      <c r="E207" s="431">
        <v>4.7E-2</v>
      </c>
      <c r="F207" s="430" t="s">
        <v>641</v>
      </c>
      <c r="G207" s="435">
        <v>0.01</v>
      </c>
      <c r="H207" s="435"/>
      <c r="I207" s="435"/>
      <c r="J207" s="435"/>
      <c r="K207" s="435"/>
      <c r="L207" s="435"/>
      <c r="M207" s="435"/>
      <c r="N207" s="435"/>
      <c r="O207" s="435"/>
      <c r="P207" s="435"/>
      <c r="Q207" s="435"/>
      <c r="R207" s="435">
        <v>2.5000000000000001E-3</v>
      </c>
      <c r="S207" s="435"/>
      <c r="T207" s="435"/>
      <c r="U207" s="435"/>
      <c r="V207" s="435"/>
      <c r="W207" s="433">
        <v>5.9500000000000004E-2</v>
      </c>
      <c r="X207" s="18"/>
    </row>
    <row r="208" spans="1:24" x14ac:dyDescent="0.15">
      <c r="A208" s="436" t="s">
        <v>978</v>
      </c>
      <c r="B208" s="434"/>
      <c r="C208" s="432" t="s">
        <v>979</v>
      </c>
      <c r="D208" s="432" t="s">
        <v>953</v>
      </c>
      <c r="E208" s="431">
        <v>4.7E-2</v>
      </c>
      <c r="F208" s="430" t="s">
        <v>641</v>
      </c>
      <c r="G208" s="435">
        <v>0.01</v>
      </c>
      <c r="H208" s="435"/>
      <c r="I208" s="435"/>
      <c r="J208" s="435"/>
      <c r="K208" s="435"/>
      <c r="L208" s="435"/>
      <c r="M208" s="435"/>
      <c r="N208" s="435"/>
      <c r="O208" s="435"/>
      <c r="P208" s="435"/>
      <c r="Q208" s="435"/>
      <c r="R208" s="435">
        <v>2.5000000000000001E-3</v>
      </c>
      <c r="S208" s="435"/>
      <c r="T208" s="435"/>
      <c r="U208" s="435"/>
      <c r="V208" s="435"/>
      <c r="W208" s="433">
        <v>5.9500000000000004E-2</v>
      </c>
      <c r="X208" s="18"/>
    </row>
    <row r="209" spans="1:24" x14ac:dyDescent="0.15">
      <c r="A209" s="525"/>
      <c r="B209" s="526"/>
      <c r="C209" s="526"/>
      <c r="D209" s="526"/>
      <c r="E209" s="527"/>
      <c r="F209" s="527" t="s">
        <v>609</v>
      </c>
      <c r="G209" s="527"/>
      <c r="H209" s="527"/>
      <c r="I209" s="527"/>
      <c r="J209" s="527"/>
      <c r="K209" s="527"/>
      <c r="L209" s="527"/>
      <c r="M209" s="527"/>
      <c r="N209" s="527"/>
      <c r="O209" s="527"/>
      <c r="P209" s="527"/>
      <c r="Q209" s="527"/>
      <c r="R209" s="527"/>
      <c r="S209" s="527"/>
      <c r="T209" s="527"/>
      <c r="U209" s="527"/>
      <c r="V209" s="527"/>
      <c r="W209" s="527"/>
      <c r="X209" s="18"/>
    </row>
    <row r="210" spans="1:24" x14ac:dyDescent="0.15">
      <c r="A210" s="436" t="s">
        <v>980</v>
      </c>
      <c r="B210" s="434"/>
      <c r="C210" s="432" t="s">
        <v>981</v>
      </c>
      <c r="D210" s="432" t="s">
        <v>981</v>
      </c>
      <c r="E210" s="431">
        <v>4.7E-2</v>
      </c>
      <c r="F210" s="430" t="s">
        <v>641</v>
      </c>
      <c r="G210" s="435">
        <v>0.01</v>
      </c>
      <c r="H210" s="435"/>
      <c r="I210" s="435"/>
      <c r="J210" s="435"/>
      <c r="K210" s="435"/>
      <c r="L210" s="435"/>
      <c r="M210" s="435"/>
      <c r="N210" s="435"/>
      <c r="O210" s="435"/>
      <c r="P210" s="435"/>
      <c r="Q210" s="435"/>
      <c r="R210" s="435">
        <v>2.5000000000000001E-3</v>
      </c>
      <c r="S210" s="435"/>
      <c r="T210" s="435"/>
      <c r="U210" s="435"/>
      <c r="V210" s="435"/>
      <c r="W210" s="433">
        <v>5.9500000000000004E-2</v>
      </c>
      <c r="X210" s="18"/>
    </row>
    <row r="211" spans="1:24" x14ac:dyDescent="0.15">
      <c r="A211" s="436" t="s">
        <v>982</v>
      </c>
      <c r="B211" s="434"/>
      <c r="C211" s="432" t="s">
        <v>983</v>
      </c>
      <c r="D211" s="432" t="s">
        <v>981</v>
      </c>
      <c r="E211" s="431">
        <v>4.7E-2</v>
      </c>
      <c r="F211" s="430" t="s">
        <v>641</v>
      </c>
      <c r="G211" s="435">
        <v>0.01</v>
      </c>
      <c r="H211" s="435"/>
      <c r="I211" s="435"/>
      <c r="J211" s="435"/>
      <c r="K211" s="435"/>
      <c r="L211" s="435"/>
      <c r="M211" s="435"/>
      <c r="N211" s="435"/>
      <c r="O211" s="435"/>
      <c r="P211" s="435"/>
      <c r="Q211" s="435"/>
      <c r="R211" s="435">
        <v>2.5000000000000001E-3</v>
      </c>
      <c r="S211" s="435"/>
      <c r="T211" s="435"/>
      <c r="U211" s="435"/>
      <c r="V211" s="435"/>
      <c r="W211" s="433">
        <v>5.9500000000000004E-2</v>
      </c>
      <c r="X211" s="18"/>
    </row>
    <row r="212" spans="1:24" x14ac:dyDescent="0.15">
      <c r="A212" s="436" t="s">
        <v>984</v>
      </c>
      <c r="B212" s="434"/>
      <c r="C212" s="432" t="s">
        <v>985</v>
      </c>
      <c r="D212" s="432" t="s">
        <v>985</v>
      </c>
      <c r="E212" s="431">
        <v>4.7E-2</v>
      </c>
      <c r="F212" s="430" t="s">
        <v>641</v>
      </c>
      <c r="G212" s="435">
        <v>0.01</v>
      </c>
      <c r="H212" s="435"/>
      <c r="I212" s="435"/>
      <c r="J212" s="435"/>
      <c r="K212" s="435"/>
      <c r="L212" s="435"/>
      <c r="M212" s="435"/>
      <c r="N212" s="435"/>
      <c r="O212" s="435"/>
      <c r="P212" s="435">
        <v>1E-3</v>
      </c>
      <c r="Q212" s="435"/>
      <c r="R212" s="435">
        <v>2.5000000000000001E-3</v>
      </c>
      <c r="S212" s="435"/>
      <c r="T212" s="435"/>
      <c r="U212" s="435"/>
      <c r="V212" s="435"/>
      <c r="W212" s="433">
        <v>6.0500000000000005E-2</v>
      </c>
      <c r="X212" s="18"/>
    </row>
    <row r="213" spans="1:24" x14ac:dyDescent="0.15">
      <c r="A213" s="436" t="s">
        <v>986</v>
      </c>
      <c r="B213" s="434"/>
      <c r="C213" s="529" t="s">
        <v>987</v>
      </c>
      <c r="D213" s="432" t="s">
        <v>981</v>
      </c>
      <c r="E213" s="431">
        <v>4.7E-2</v>
      </c>
      <c r="F213" s="430" t="s">
        <v>641</v>
      </c>
      <c r="G213" s="435">
        <v>0.01</v>
      </c>
      <c r="H213" s="435"/>
      <c r="I213" s="435"/>
      <c r="J213" s="435"/>
      <c r="K213" s="435"/>
      <c r="L213" s="435"/>
      <c r="M213" s="435"/>
      <c r="N213" s="435"/>
      <c r="O213" s="435"/>
      <c r="P213" s="435"/>
      <c r="Q213" s="435"/>
      <c r="R213" s="435">
        <v>2.5000000000000001E-3</v>
      </c>
      <c r="S213" s="435"/>
      <c r="T213" s="435"/>
      <c r="U213" s="435"/>
      <c r="V213" s="435"/>
      <c r="W213" s="433">
        <v>5.9500000000000004E-2</v>
      </c>
      <c r="X213" s="18"/>
    </row>
    <row r="214" spans="1:24" x14ac:dyDescent="0.15">
      <c r="A214" s="436" t="s">
        <v>988</v>
      </c>
      <c r="B214" s="434"/>
      <c r="C214" s="432" t="s">
        <v>989</v>
      </c>
      <c r="D214" s="432" t="s">
        <v>981</v>
      </c>
      <c r="E214" s="431">
        <v>4.7E-2</v>
      </c>
      <c r="F214" s="430" t="s">
        <v>641</v>
      </c>
      <c r="G214" s="435">
        <v>0.01</v>
      </c>
      <c r="H214" s="435"/>
      <c r="I214" s="435"/>
      <c r="J214" s="435"/>
      <c r="K214" s="435"/>
      <c r="L214" s="435"/>
      <c r="M214" s="435"/>
      <c r="N214" s="435"/>
      <c r="O214" s="435"/>
      <c r="P214" s="435"/>
      <c r="Q214" s="435"/>
      <c r="R214" s="435">
        <v>2.5000000000000001E-3</v>
      </c>
      <c r="S214" s="435"/>
      <c r="T214" s="435"/>
      <c r="U214" s="435"/>
      <c r="V214" s="435"/>
      <c r="W214" s="433">
        <v>5.9500000000000004E-2</v>
      </c>
      <c r="X214" s="18"/>
    </row>
    <row r="215" spans="1:24" x14ac:dyDescent="0.15">
      <c r="A215" s="436" t="s">
        <v>990</v>
      </c>
      <c r="B215" s="434"/>
      <c r="C215" s="432" t="s">
        <v>991</v>
      </c>
      <c r="D215" s="432" t="s">
        <v>981</v>
      </c>
      <c r="E215" s="431">
        <v>4.7E-2</v>
      </c>
      <c r="F215" s="430" t="s">
        <v>641</v>
      </c>
      <c r="G215" s="435">
        <v>0.01</v>
      </c>
      <c r="H215" s="435"/>
      <c r="I215" s="435"/>
      <c r="J215" s="435"/>
      <c r="K215" s="435"/>
      <c r="L215" s="435"/>
      <c r="M215" s="435"/>
      <c r="N215" s="435"/>
      <c r="O215" s="435"/>
      <c r="P215" s="435"/>
      <c r="Q215" s="435"/>
      <c r="R215" s="435">
        <v>2.5000000000000001E-3</v>
      </c>
      <c r="S215" s="435"/>
      <c r="T215" s="435"/>
      <c r="U215" s="435"/>
      <c r="V215" s="435"/>
      <c r="W215" s="433">
        <v>5.9500000000000004E-2</v>
      </c>
      <c r="X215" s="18"/>
    </row>
    <row r="216" spans="1:24" x14ac:dyDescent="0.15">
      <c r="A216" s="436" t="s">
        <v>992</v>
      </c>
      <c r="B216" s="434"/>
      <c r="C216" s="432" t="s">
        <v>993</v>
      </c>
      <c r="D216" s="432" t="s">
        <v>981</v>
      </c>
      <c r="E216" s="431">
        <v>4.7E-2</v>
      </c>
      <c r="F216" s="430" t="s">
        <v>641</v>
      </c>
      <c r="G216" s="435">
        <v>0.01</v>
      </c>
      <c r="H216" s="435"/>
      <c r="I216" s="435"/>
      <c r="J216" s="435"/>
      <c r="K216" s="435"/>
      <c r="L216" s="435"/>
      <c r="M216" s="435"/>
      <c r="N216" s="435"/>
      <c r="O216" s="435"/>
      <c r="P216" s="435"/>
      <c r="Q216" s="435"/>
      <c r="R216" s="435">
        <v>2.5000000000000001E-3</v>
      </c>
      <c r="S216" s="435"/>
      <c r="T216" s="435"/>
      <c r="U216" s="435"/>
      <c r="V216" s="435"/>
      <c r="W216" s="433">
        <v>5.9500000000000004E-2</v>
      </c>
      <c r="X216" s="18"/>
    </row>
    <row r="217" spans="1:24" x14ac:dyDescent="0.15">
      <c r="A217" s="436" t="s">
        <v>994</v>
      </c>
      <c r="B217" s="434"/>
      <c r="C217" s="432" t="s">
        <v>995</v>
      </c>
      <c r="D217" s="432" t="s">
        <v>981</v>
      </c>
      <c r="E217" s="431">
        <v>4.7E-2</v>
      </c>
      <c r="F217" s="430" t="s">
        <v>641</v>
      </c>
      <c r="G217" s="435">
        <v>0.01</v>
      </c>
      <c r="H217" s="435"/>
      <c r="I217" s="435"/>
      <c r="J217" s="435"/>
      <c r="K217" s="435"/>
      <c r="L217" s="435"/>
      <c r="M217" s="435"/>
      <c r="N217" s="435"/>
      <c r="O217" s="435"/>
      <c r="P217" s="435"/>
      <c r="Q217" s="435"/>
      <c r="R217" s="435">
        <v>2.5000000000000001E-3</v>
      </c>
      <c r="S217" s="435"/>
      <c r="T217" s="435"/>
      <c r="U217" s="435"/>
      <c r="V217" s="435"/>
      <c r="W217" s="433">
        <v>5.9500000000000004E-2</v>
      </c>
      <c r="X217" s="18"/>
    </row>
    <row r="218" spans="1:24" x14ac:dyDescent="0.15">
      <c r="A218" s="436" t="s">
        <v>996</v>
      </c>
      <c r="B218" s="434"/>
      <c r="C218" s="432" t="s">
        <v>997</v>
      </c>
      <c r="D218" s="432" t="s">
        <v>981</v>
      </c>
      <c r="E218" s="431">
        <v>4.7E-2</v>
      </c>
      <c r="F218" s="430" t="s">
        <v>641</v>
      </c>
      <c r="G218" s="435">
        <v>0.01</v>
      </c>
      <c r="H218" s="435"/>
      <c r="I218" s="435"/>
      <c r="J218" s="435"/>
      <c r="K218" s="435"/>
      <c r="L218" s="435"/>
      <c r="M218" s="435"/>
      <c r="N218" s="435"/>
      <c r="O218" s="435"/>
      <c r="P218" s="435"/>
      <c r="Q218" s="435"/>
      <c r="R218" s="435">
        <v>2.5000000000000001E-3</v>
      </c>
      <c r="S218" s="435"/>
      <c r="T218" s="435"/>
      <c r="U218" s="435"/>
      <c r="V218" s="435"/>
      <c r="W218" s="433">
        <v>5.9500000000000004E-2</v>
      </c>
      <c r="X218" s="18"/>
    </row>
    <row r="219" spans="1:24" x14ac:dyDescent="0.15">
      <c r="A219" s="530" t="s">
        <v>998</v>
      </c>
      <c r="B219" s="528"/>
      <c r="C219" s="432" t="s">
        <v>999</v>
      </c>
      <c r="D219" s="432" t="s">
        <v>999</v>
      </c>
      <c r="E219" s="431">
        <v>4.7E-2</v>
      </c>
      <c r="F219" s="430" t="s">
        <v>641</v>
      </c>
      <c r="G219" s="435">
        <v>0.01</v>
      </c>
      <c r="H219" s="435"/>
      <c r="I219" s="435"/>
      <c r="J219" s="435"/>
      <c r="K219" s="435"/>
      <c r="L219" s="435"/>
      <c r="M219" s="435"/>
      <c r="N219" s="435"/>
      <c r="O219" s="435"/>
      <c r="P219" s="435">
        <v>1E-3</v>
      </c>
      <c r="Q219" s="435"/>
      <c r="R219" s="435">
        <v>2.5000000000000001E-3</v>
      </c>
      <c r="S219" s="435"/>
      <c r="T219" s="435"/>
      <c r="U219" s="435"/>
      <c r="V219" s="435"/>
      <c r="W219" s="433">
        <v>6.0500000000000005E-2</v>
      </c>
      <c r="X219" s="18"/>
    </row>
    <row r="220" spans="1:24" x14ac:dyDescent="0.15">
      <c r="A220" s="436" t="s">
        <v>1000</v>
      </c>
      <c r="B220" s="434"/>
      <c r="C220" s="432" t="s">
        <v>1001</v>
      </c>
      <c r="D220" s="432" t="s">
        <v>1001</v>
      </c>
      <c r="E220" s="431">
        <v>4.7E-2</v>
      </c>
      <c r="F220" s="430" t="s">
        <v>641</v>
      </c>
      <c r="G220" s="435">
        <v>0.01</v>
      </c>
      <c r="H220" s="435"/>
      <c r="I220" s="435"/>
      <c r="J220" s="435"/>
      <c r="K220" s="435"/>
      <c r="L220" s="435"/>
      <c r="M220" s="435"/>
      <c r="N220" s="435"/>
      <c r="O220" s="435"/>
      <c r="P220" s="435">
        <v>1E-3</v>
      </c>
      <c r="Q220" s="435">
        <v>3.0000000000000001E-3</v>
      </c>
      <c r="R220" s="435">
        <v>2.5000000000000001E-3</v>
      </c>
      <c r="S220" s="435"/>
      <c r="T220" s="435"/>
      <c r="U220" s="435"/>
      <c r="V220" s="435"/>
      <c r="W220" s="433">
        <v>6.3500000000000001E-2</v>
      </c>
      <c r="X220" s="18"/>
    </row>
    <row r="221" spans="1:24" x14ac:dyDescent="0.15">
      <c r="A221" s="436" t="s">
        <v>1002</v>
      </c>
      <c r="B221" s="434"/>
      <c r="C221" s="432" t="s">
        <v>1003</v>
      </c>
      <c r="D221" s="432" t="s">
        <v>1003</v>
      </c>
      <c r="E221" s="431">
        <v>4.7E-2</v>
      </c>
      <c r="F221" s="430" t="s">
        <v>641</v>
      </c>
      <c r="G221" s="435">
        <v>0.01</v>
      </c>
      <c r="H221" s="435"/>
      <c r="I221" s="435"/>
      <c r="J221" s="435"/>
      <c r="K221" s="435"/>
      <c r="L221" s="435"/>
      <c r="M221" s="435"/>
      <c r="N221" s="435"/>
      <c r="O221" s="435"/>
      <c r="P221" s="435">
        <v>1E-3</v>
      </c>
      <c r="Q221" s="435">
        <v>3.0000000000000001E-3</v>
      </c>
      <c r="R221" s="435">
        <v>2.5000000000000001E-3</v>
      </c>
      <c r="S221" s="435"/>
      <c r="T221" s="435"/>
      <c r="U221" s="435"/>
      <c r="V221" s="435"/>
      <c r="W221" s="433">
        <v>6.3500000000000001E-2</v>
      </c>
      <c r="X221" s="18"/>
    </row>
    <row r="222" spans="1:24" x14ac:dyDescent="0.15">
      <c r="A222" s="436" t="s">
        <v>1004</v>
      </c>
      <c r="B222" s="434"/>
      <c r="C222" s="432" t="s">
        <v>1005</v>
      </c>
      <c r="D222" s="432" t="s">
        <v>981</v>
      </c>
      <c r="E222" s="431">
        <v>4.7E-2</v>
      </c>
      <c r="F222" s="430" t="s">
        <v>641</v>
      </c>
      <c r="G222" s="435">
        <v>0.01</v>
      </c>
      <c r="H222" s="435"/>
      <c r="I222" s="435"/>
      <c r="J222" s="435"/>
      <c r="K222" s="435"/>
      <c r="L222" s="435"/>
      <c r="M222" s="435"/>
      <c r="N222" s="435"/>
      <c r="O222" s="435"/>
      <c r="P222" s="435"/>
      <c r="Q222" s="435"/>
      <c r="R222" s="435">
        <v>2.5000000000000001E-3</v>
      </c>
      <c r="S222" s="435"/>
      <c r="T222" s="435"/>
      <c r="U222" s="435"/>
      <c r="V222" s="435"/>
      <c r="W222" s="433">
        <v>5.9500000000000004E-2</v>
      </c>
      <c r="X222" s="18"/>
    </row>
    <row r="223" spans="1:24" x14ac:dyDescent="0.15">
      <c r="A223" s="525"/>
      <c r="B223" s="526"/>
      <c r="C223" s="526"/>
      <c r="D223" s="526"/>
      <c r="E223" s="527"/>
      <c r="F223" s="527" t="s">
        <v>609</v>
      </c>
      <c r="G223" s="527"/>
      <c r="H223" s="527"/>
      <c r="I223" s="527"/>
      <c r="J223" s="527"/>
      <c r="K223" s="527"/>
      <c r="L223" s="527"/>
      <c r="M223" s="527"/>
      <c r="N223" s="527"/>
      <c r="O223" s="527"/>
      <c r="P223" s="527"/>
      <c r="Q223" s="527"/>
      <c r="R223" s="527"/>
      <c r="S223" s="527"/>
      <c r="T223" s="527"/>
      <c r="U223" s="527"/>
      <c r="V223" s="527"/>
      <c r="W223" s="527"/>
      <c r="X223" s="18"/>
    </row>
    <row r="224" spans="1:24" x14ac:dyDescent="0.15">
      <c r="A224" s="530" t="s">
        <v>1006</v>
      </c>
      <c r="B224" s="434"/>
      <c r="C224" s="432" t="s">
        <v>1007</v>
      </c>
      <c r="D224" s="432" t="s">
        <v>1007</v>
      </c>
      <c r="E224" s="431">
        <v>4.7E-2</v>
      </c>
      <c r="F224" s="430" t="s">
        <v>641</v>
      </c>
      <c r="G224" s="435">
        <v>0.01</v>
      </c>
      <c r="H224" s="435"/>
      <c r="I224" s="435"/>
      <c r="J224" s="435"/>
      <c r="K224" s="435"/>
      <c r="L224" s="435"/>
      <c r="M224" s="435"/>
      <c r="N224" s="435"/>
      <c r="O224" s="435">
        <v>1E-3</v>
      </c>
      <c r="P224" s="435"/>
      <c r="Q224" s="435"/>
      <c r="R224" s="435">
        <v>2.5000000000000001E-3</v>
      </c>
      <c r="S224" s="435"/>
      <c r="T224" s="435"/>
      <c r="U224" s="435"/>
      <c r="V224" s="435"/>
      <c r="W224" s="433">
        <v>6.0500000000000005E-2</v>
      </c>
      <c r="X224" s="18"/>
    </row>
    <row r="225" spans="1:24" x14ac:dyDescent="0.15">
      <c r="A225" s="436" t="s">
        <v>1008</v>
      </c>
      <c r="B225" s="434"/>
      <c r="C225" s="432" t="s">
        <v>1009</v>
      </c>
      <c r="D225" s="432" t="s">
        <v>1007</v>
      </c>
      <c r="E225" s="431">
        <v>4.7E-2</v>
      </c>
      <c r="F225" s="430" t="s">
        <v>641</v>
      </c>
      <c r="G225" s="435">
        <v>0.01</v>
      </c>
      <c r="H225" s="435"/>
      <c r="I225" s="435"/>
      <c r="J225" s="435"/>
      <c r="K225" s="435"/>
      <c r="L225" s="435"/>
      <c r="M225" s="435"/>
      <c r="N225" s="435"/>
      <c r="O225" s="435">
        <v>1E-3</v>
      </c>
      <c r="P225" s="435"/>
      <c r="Q225" s="435"/>
      <c r="R225" s="435">
        <v>2.5000000000000001E-3</v>
      </c>
      <c r="S225" s="435"/>
      <c r="T225" s="435"/>
      <c r="U225" s="435"/>
      <c r="V225" s="435"/>
      <c r="W225" s="433">
        <v>6.0500000000000005E-2</v>
      </c>
      <c r="X225" s="18"/>
    </row>
    <row r="226" spans="1:24" x14ac:dyDescent="0.15">
      <c r="A226" s="436" t="s">
        <v>1010</v>
      </c>
      <c r="B226" s="434"/>
      <c r="C226" s="432" t="s">
        <v>1011</v>
      </c>
      <c r="D226" s="432" t="s">
        <v>1007</v>
      </c>
      <c r="E226" s="431">
        <v>4.7E-2</v>
      </c>
      <c r="F226" s="430" t="s">
        <v>641</v>
      </c>
      <c r="G226" s="435">
        <v>0.01</v>
      </c>
      <c r="H226" s="435"/>
      <c r="I226" s="435"/>
      <c r="J226" s="435"/>
      <c r="K226" s="435"/>
      <c r="L226" s="435"/>
      <c r="M226" s="435"/>
      <c r="N226" s="435"/>
      <c r="O226" s="435">
        <v>1E-3</v>
      </c>
      <c r="P226" s="435"/>
      <c r="Q226" s="435"/>
      <c r="R226" s="435">
        <v>2.5000000000000001E-3</v>
      </c>
      <c r="S226" s="435"/>
      <c r="T226" s="435"/>
      <c r="U226" s="435"/>
      <c r="V226" s="435"/>
      <c r="W226" s="433">
        <v>6.0500000000000005E-2</v>
      </c>
      <c r="X226" s="18"/>
    </row>
    <row r="227" spans="1:24" x14ac:dyDescent="0.15">
      <c r="A227" s="436" t="s">
        <v>1012</v>
      </c>
      <c r="B227" s="434"/>
      <c r="C227" s="432" t="s">
        <v>1013</v>
      </c>
      <c r="D227" s="432" t="s">
        <v>1007</v>
      </c>
      <c r="E227" s="431">
        <v>4.7E-2</v>
      </c>
      <c r="F227" s="430" t="s">
        <v>641</v>
      </c>
      <c r="G227" s="435">
        <v>0.01</v>
      </c>
      <c r="H227" s="435"/>
      <c r="I227" s="435"/>
      <c r="J227" s="435"/>
      <c r="K227" s="435"/>
      <c r="L227" s="435"/>
      <c r="M227" s="435"/>
      <c r="N227" s="435"/>
      <c r="O227" s="435">
        <v>1E-3</v>
      </c>
      <c r="P227" s="435"/>
      <c r="Q227" s="435"/>
      <c r="R227" s="435">
        <v>2.5000000000000001E-3</v>
      </c>
      <c r="S227" s="435"/>
      <c r="T227" s="435"/>
      <c r="U227" s="435"/>
      <c r="V227" s="435"/>
      <c r="W227" s="433">
        <v>6.0500000000000005E-2</v>
      </c>
      <c r="X227" s="18"/>
    </row>
    <row r="228" spans="1:24" x14ac:dyDescent="0.15">
      <c r="A228" s="436" t="s">
        <v>1014</v>
      </c>
      <c r="B228" s="434"/>
      <c r="C228" s="432" t="s">
        <v>1015</v>
      </c>
      <c r="D228" s="432" t="s">
        <v>1007</v>
      </c>
      <c r="E228" s="431">
        <v>4.7E-2</v>
      </c>
      <c r="F228" s="430" t="s">
        <v>641</v>
      </c>
      <c r="G228" s="435">
        <v>0.01</v>
      </c>
      <c r="H228" s="435"/>
      <c r="I228" s="435"/>
      <c r="J228" s="435"/>
      <c r="K228" s="435"/>
      <c r="L228" s="435"/>
      <c r="M228" s="435"/>
      <c r="N228" s="435"/>
      <c r="O228" s="435">
        <v>1E-3</v>
      </c>
      <c r="P228" s="435"/>
      <c r="Q228" s="435"/>
      <c r="R228" s="435">
        <v>2.5000000000000001E-3</v>
      </c>
      <c r="S228" s="435"/>
      <c r="T228" s="435"/>
      <c r="U228" s="435"/>
      <c r="V228" s="435"/>
      <c r="W228" s="433">
        <v>6.0500000000000005E-2</v>
      </c>
      <c r="X228" s="18"/>
    </row>
    <row r="229" spans="1:24" x14ac:dyDescent="0.15">
      <c r="A229" s="436" t="s">
        <v>1016</v>
      </c>
      <c r="B229" s="434"/>
      <c r="C229" s="432" t="s">
        <v>1017</v>
      </c>
      <c r="D229" s="432" t="s">
        <v>1007</v>
      </c>
      <c r="E229" s="431">
        <v>4.7E-2</v>
      </c>
      <c r="F229" s="430" t="s">
        <v>641</v>
      </c>
      <c r="G229" s="435">
        <v>0.01</v>
      </c>
      <c r="H229" s="435"/>
      <c r="I229" s="435"/>
      <c r="J229" s="435"/>
      <c r="K229" s="435"/>
      <c r="L229" s="435"/>
      <c r="M229" s="435"/>
      <c r="N229" s="435"/>
      <c r="O229" s="435">
        <v>1E-3</v>
      </c>
      <c r="P229" s="435"/>
      <c r="Q229" s="435"/>
      <c r="R229" s="435">
        <v>2.5000000000000001E-3</v>
      </c>
      <c r="S229" s="435"/>
      <c r="T229" s="435"/>
      <c r="U229" s="435"/>
      <c r="V229" s="435"/>
      <c r="W229" s="433">
        <v>6.0500000000000005E-2</v>
      </c>
      <c r="X229" s="18"/>
    </row>
    <row r="230" spans="1:24" x14ac:dyDescent="0.15">
      <c r="A230" s="436" t="s">
        <v>1018</v>
      </c>
      <c r="B230" s="434"/>
      <c r="C230" s="432" t="s">
        <v>1019</v>
      </c>
      <c r="D230" s="432" t="s">
        <v>1019</v>
      </c>
      <c r="E230" s="431">
        <v>4.7E-2</v>
      </c>
      <c r="F230" s="430" t="s">
        <v>641</v>
      </c>
      <c r="G230" s="435">
        <v>0.01</v>
      </c>
      <c r="H230" s="435">
        <v>3.0000000000000001E-3</v>
      </c>
      <c r="I230" s="435"/>
      <c r="J230" s="435"/>
      <c r="K230" s="435"/>
      <c r="L230" s="435"/>
      <c r="M230" s="435"/>
      <c r="N230" s="435"/>
      <c r="O230" s="435">
        <v>1E-3</v>
      </c>
      <c r="P230" s="435"/>
      <c r="Q230" s="435"/>
      <c r="R230" s="435">
        <v>2.5000000000000001E-3</v>
      </c>
      <c r="S230" s="435"/>
      <c r="T230" s="435"/>
      <c r="U230" s="435">
        <v>1.0999999999999999E-2</v>
      </c>
      <c r="V230" s="435"/>
      <c r="W230" s="433">
        <v>7.4499999999999997E-2</v>
      </c>
      <c r="X230" s="18"/>
    </row>
    <row r="231" spans="1:24" x14ac:dyDescent="0.15">
      <c r="A231" s="530" t="s">
        <v>1020</v>
      </c>
      <c r="B231" s="528" t="s">
        <v>723</v>
      </c>
      <c r="C231" s="529" t="s">
        <v>1021</v>
      </c>
      <c r="D231" s="529" t="s">
        <v>1021</v>
      </c>
      <c r="E231" s="431">
        <v>4.7E-2</v>
      </c>
      <c r="F231" s="430" t="s">
        <v>641</v>
      </c>
      <c r="G231" s="435">
        <v>0.01</v>
      </c>
      <c r="H231" s="435">
        <v>3.0000000000000001E-3</v>
      </c>
      <c r="I231" s="435"/>
      <c r="J231" s="435"/>
      <c r="K231" s="435"/>
      <c r="L231" s="435"/>
      <c r="M231" s="435"/>
      <c r="N231" s="435"/>
      <c r="O231" s="435">
        <v>1E-3</v>
      </c>
      <c r="P231" s="435"/>
      <c r="Q231" s="435"/>
      <c r="R231" s="435">
        <v>2.5000000000000001E-3</v>
      </c>
      <c r="S231" s="435"/>
      <c r="T231" s="435"/>
      <c r="U231" s="435"/>
      <c r="V231" s="435"/>
      <c r="W231" s="433">
        <v>6.3500000000000001E-2</v>
      </c>
      <c r="X231" s="18"/>
    </row>
    <row r="232" spans="1:24" x14ac:dyDescent="0.15">
      <c r="A232" s="525"/>
      <c r="B232" s="526"/>
      <c r="C232" s="526"/>
      <c r="D232" s="526"/>
      <c r="E232" s="527"/>
      <c r="F232" s="527" t="s">
        <v>609</v>
      </c>
      <c r="G232" s="527"/>
      <c r="H232" s="527"/>
      <c r="I232" s="527"/>
      <c r="J232" s="527"/>
      <c r="K232" s="527"/>
      <c r="L232" s="527"/>
      <c r="M232" s="527"/>
      <c r="N232" s="527"/>
      <c r="O232" s="527"/>
      <c r="P232" s="527"/>
      <c r="Q232" s="527"/>
      <c r="R232" s="527"/>
      <c r="S232" s="527"/>
      <c r="T232" s="527"/>
      <c r="U232" s="527"/>
      <c r="V232" s="527"/>
      <c r="W232" s="527"/>
      <c r="X232" s="18"/>
    </row>
    <row r="233" spans="1:24" x14ac:dyDescent="0.15">
      <c r="A233" s="436" t="s">
        <v>1022</v>
      </c>
      <c r="B233" s="434"/>
      <c r="C233" s="432" t="s">
        <v>1023</v>
      </c>
      <c r="D233" s="432" t="s">
        <v>1023</v>
      </c>
      <c r="E233" s="431">
        <v>4.7E-2</v>
      </c>
      <c r="F233" s="430" t="s">
        <v>641</v>
      </c>
      <c r="G233" s="435">
        <v>0.01</v>
      </c>
      <c r="H233" s="435"/>
      <c r="I233" s="435"/>
      <c r="J233" s="435"/>
      <c r="K233" s="435"/>
      <c r="L233" s="435"/>
      <c r="M233" s="435"/>
      <c r="N233" s="435"/>
      <c r="O233" s="435"/>
      <c r="P233" s="435"/>
      <c r="Q233" s="435"/>
      <c r="R233" s="435">
        <v>2.5000000000000001E-3</v>
      </c>
      <c r="S233" s="435"/>
      <c r="T233" s="435"/>
      <c r="U233" s="435"/>
      <c r="V233" s="435"/>
      <c r="W233" s="433">
        <v>5.9500000000000004E-2</v>
      </c>
      <c r="X233" s="18"/>
    </row>
    <row r="234" spans="1:24" x14ac:dyDescent="0.15">
      <c r="A234" s="436" t="s">
        <v>1024</v>
      </c>
      <c r="B234" s="528" t="s">
        <v>723</v>
      </c>
      <c r="C234" s="432" t="s">
        <v>1025</v>
      </c>
      <c r="D234" s="432" t="s">
        <v>1025</v>
      </c>
      <c r="E234" s="431">
        <v>4.7E-2</v>
      </c>
      <c r="F234" s="430" t="s">
        <v>641</v>
      </c>
      <c r="G234" s="435">
        <v>0.01</v>
      </c>
      <c r="H234" s="435">
        <v>3.0000000000000001E-3</v>
      </c>
      <c r="I234" s="435"/>
      <c r="J234" s="435"/>
      <c r="K234" s="435"/>
      <c r="L234" s="435"/>
      <c r="M234" s="435"/>
      <c r="N234" s="435"/>
      <c r="O234" s="435"/>
      <c r="P234" s="435"/>
      <c r="Q234" s="435"/>
      <c r="R234" s="435">
        <v>2.5000000000000001E-3</v>
      </c>
      <c r="S234" s="435"/>
      <c r="T234" s="435"/>
      <c r="U234" s="435"/>
      <c r="V234" s="435"/>
      <c r="W234" s="433">
        <v>6.25E-2</v>
      </c>
      <c r="X234" s="18"/>
    </row>
    <row r="235" spans="1:24" x14ac:dyDescent="0.15">
      <c r="A235" s="436" t="s">
        <v>1026</v>
      </c>
      <c r="B235" s="434"/>
      <c r="C235" s="432" t="s">
        <v>1027</v>
      </c>
      <c r="D235" s="432" t="s">
        <v>1027</v>
      </c>
      <c r="E235" s="431">
        <v>4.7E-2</v>
      </c>
      <c r="F235" s="430" t="s">
        <v>641</v>
      </c>
      <c r="G235" s="435">
        <v>0.01</v>
      </c>
      <c r="H235" s="435">
        <v>3.0000000000000001E-3</v>
      </c>
      <c r="I235" s="435"/>
      <c r="J235" s="435"/>
      <c r="K235" s="435"/>
      <c r="L235" s="435"/>
      <c r="M235" s="435"/>
      <c r="N235" s="435"/>
      <c r="O235" s="435"/>
      <c r="P235" s="435"/>
      <c r="Q235" s="435"/>
      <c r="R235" s="435">
        <v>2.5000000000000001E-3</v>
      </c>
      <c r="S235" s="435"/>
      <c r="T235" s="435"/>
      <c r="U235" s="435"/>
      <c r="V235" s="435"/>
      <c r="W235" s="433">
        <v>6.25E-2</v>
      </c>
      <c r="X235" s="18"/>
    </row>
    <row r="236" spans="1:24" x14ac:dyDescent="0.15">
      <c r="A236" s="436" t="s">
        <v>1028</v>
      </c>
      <c r="B236" s="528" t="s">
        <v>723</v>
      </c>
      <c r="C236" s="432" t="s">
        <v>1029</v>
      </c>
      <c r="D236" s="432" t="s">
        <v>1029</v>
      </c>
      <c r="E236" s="431">
        <v>4.7E-2</v>
      </c>
      <c r="F236" s="430" t="s">
        <v>641</v>
      </c>
      <c r="G236" s="435">
        <v>0.01</v>
      </c>
      <c r="H236" s="435">
        <v>3.0000000000000001E-3</v>
      </c>
      <c r="I236" s="435"/>
      <c r="J236" s="435"/>
      <c r="K236" s="435"/>
      <c r="L236" s="435"/>
      <c r="M236" s="435"/>
      <c r="N236" s="435"/>
      <c r="O236" s="435"/>
      <c r="P236" s="435"/>
      <c r="Q236" s="435"/>
      <c r="R236" s="435">
        <v>2.5000000000000001E-3</v>
      </c>
      <c r="S236" s="435"/>
      <c r="T236" s="435"/>
      <c r="U236" s="435"/>
      <c r="V236" s="435"/>
      <c r="W236" s="433">
        <v>6.25E-2</v>
      </c>
      <c r="X236" s="18"/>
    </row>
    <row r="237" spans="1:24" x14ac:dyDescent="0.15">
      <c r="A237" s="436" t="s">
        <v>1030</v>
      </c>
      <c r="B237" s="528" t="s">
        <v>723</v>
      </c>
      <c r="C237" s="432" t="s">
        <v>1031</v>
      </c>
      <c r="D237" s="432" t="s">
        <v>1031</v>
      </c>
      <c r="E237" s="431">
        <v>4.7E-2</v>
      </c>
      <c r="F237" s="430" t="s">
        <v>641</v>
      </c>
      <c r="G237" s="435">
        <v>0.01</v>
      </c>
      <c r="H237" s="435">
        <v>3.0000000000000001E-3</v>
      </c>
      <c r="I237" s="435"/>
      <c r="J237" s="435"/>
      <c r="K237" s="435"/>
      <c r="L237" s="435"/>
      <c r="M237" s="435"/>
      <c r="N237" s="435"/>
      <c r="O237" s="435"/>
      <c r="P237" s="435"/>
      <c r="Q237" s="435"/>
      <c r="R237" s="435">
        <v>2.5000000000000001E-3</v>
      </c>
      <c r="S237" s="435"/>
      <c r="T237" s="435"/>
      <c r="U237" s="435"/>
      <c r="V237" s="435"/>
      <c r="W237" s="433">
        <v>6.25E-2</v>
      </c>
      <c r="X237" s="18"/>
    </row>
    <row r="238" spans="1:24" x14ac:dyDescent="0.15">
      <c r="A238" s="436" t="s">
        <v>1032</v>
      </c>
      <c r="B238" s="434"/>
      <c r="C238" s="432" t="s">
        <v>1033</v>
      </c>
      <c r="D238" s="432" t="s">
        <v>1023</v>
      </c>
      <c r="E238" s="431">
        <v>4.7E-2</v>
      </c>
      <c r="F238" s="430" t="s">
        <v>641</v>
      </c>
      <c r="G238" s="435">
        <v>0.01</v>
      </c>
      <c r="H238" s="435"/>
      <c r="I238" s="435"/>
      <c r="J238" s="435"/>
      <c r="K238" s="435"/>
      <c r="L238" s="435"/>
      <c r="M238" s="435"/>
      <c r="N238" s="435"/>
      <c r="O238" s="435"/>
      <c r="P238" s="435"/>
      <c r="Q238" s="435"/>
      <c r="R238" s="435">
        <v>2.5000000000000001E-3</v>
      </c>
      <c r="S238" s="435"/>
      <c r="T238" s="435"/>
      <c r="U238" s="435"/>
      <c r="V238" s="435"/>
      <c r="W238" s="433">
        <v>5.9500000000000004E-2</v>
      </c>
      <c r="X238" s="18"/>
    </row>
    <row r="239" spans="1:24" x14ac:dyDescent="0.15">
      <c r="A239" s="436" t="s">
        <v>1034</v>
      </c>
      <c r="B239" s="434"/>
      <c r="C239" s="432" t="s">
        <v>1035</v>
      </c>
      <c r="D239" s="432" t="s">
        <v>1023</v>
      </c>
      <c r="E239" s="431">
        <v>4.7E-2</v>
      </c>
      <c r="F239" s="430" t="s">
        <v>641</v>
      </c>
      <c r="G239" s="435">
        <v>0.01</v>
      </c>
      <c r="H239" s="435"/>
      <c r="I239" s="435"/>
      <c r="J239" s="435"/>
      <c r="K239" s="435"/>
      <c r="L239" s="435"/>
      <c r="M239" s="435"/>
      <c r="N239" s="435"/>
      <c r="O239" s="435"/>
      <c r="P239" s="435"/>
      <c r="Q239" s="435"/>
      <c r="R239" s="435">
        <v>2.5000000000000001E-3</v>
      </c>
      <c r="S239" s="435"/>
      <c r="T239" s="435"/>
      <c r="U239" s="435"/>
      <c r="V239" s="435"/>
      <c r="W239" s="433">
        <v>5.9500000000000004E-2</v>
      </c>
      <c r="X239" s="18"/>
    </row>
    <row r="240" spans="1:24" x14ac:dyDescent="0.15">
      <c r="A240" s="436" t="s">
        <v>1036</v>
      </c>
      <c r="B240" s="434"/>
      <c r="C240" s="432" t="s">
        <v>1037</v>
      </c>
      <c r="D240" s="432" t="s">
        <v>1037</v>
      </c>
      <c r="E240" s="431">
        <v>4.7E-2</v>
      </c>
      <c r="F240" s="430" t="s">
        <v>641</v>
      </c>
      <c r="G240" s="435">
        <v>0.01</v>
      </c>
      <c r="H240" s="435">
        <v>3.0000000000000001E-3</v>
      </c>
      <c r="I240" s="435"/>
      <c r="J240" s="435"/>
      <c r="K240" s="435"/>
      <c r="L240" s="435"/>
      <c r="M240" s="435"/>
      <c r="N240" s="435"/>
      <c r="O240" s="435"/>
      <c r="P240" s="435">
        <v>1E-3</v>
      </c>
      <c r="Q240" s="435"/>
      <c r="R240" s="435">
        <v>2.5000000000000001E-3</v>
      </c>
      <c r="S240" s="435"/>
      <c r="T240" s="435"/>
      <c r="U240" s="435"/>
      <c r="V240" s="435"/>
      <c r="W240" s="433">
        <v>6.3500000000000001E-2</v>
      </c>
      <c r="X240" s="18"/>
    </row>
    <row r="241" spans="1:24" x14ac:dyDescent="0.15">
      <c r="A241" s="436" t="s">
        <v>1038</v>
      </c>
      <c r="B241" s="434"/>
      <c r="C241" s="432" t="s">
        <v>1039</v>
      </c>
      <c r="D241" s="432" t="s">
        <v>1023</v>
      </c>
      <c r="E241" s="431">
        <v>4.7E-2</v>
      </c>
      <c r="F241" s="430" t="s">
        <v>641</v>
      </c>
      <c r="G241" s="435">
        <v>0.01</v>
      </c>
      <c r="H241" s="435"/>
      <c r="I241" s="435"/>
      <c r="J241" s="435"/>
      <c r="K241" s="435"/>
      <c r="L241" s="435"/>
      <c r="M241" s="435"/>
      <c r="N241" s="435"/>
      <c r="O241" s="435"/>
      <c r="P241" s="435"/>
      <c r="Q241" s="435"/>
      <c r="R241" s="435">
        <v>2.5000000000000001E-3</v>
      </c>
      <c r="S241" s="435"/>
      <c r="T241" s="435"/>
      <c r="U241" s="435"/>
      <c r="V241" s="435"/>
      <c r="W241" s="433">
        <v>5.9500000000000004E-2</v>
      </c>
      <c r="X241" s="18"/>
    </row>
    <row r="242" spans="1:24" x14ac:dyDescent="0.15">
      <c r="A242" s="436" t="s">
        <v>1040</v>
      </c>
      <c r="B242" s="434"/>
      <c r="C242" s="432" t="s">
        <v>1041</v>
      </c>
      <c r="D242" s="432" t="s">
        <v>1023</v>
      </c>
      <c r="E242" s="431">
        <v>4.7E-2</v>
      </c>
      <c r="F242" s="430" t="s">
        <v>641</v>
      </c>
      <c r="G242" s="435">
        <v>0.01</v>
      </c>
      <c r="H242" s="435"/>
      <c r="I242" s="435"/>
      <c r="J242" s="435"/>
      <c r="K242" s="435"/>
      <c r="L242" s="435"/>
      <c r="M242" s="435"/>
      <c r="N242" s="435"/>
      <c r="O242" s="435"/>
      <c r="P242" s="435"/>
      <c r="Q242" s="435"/>
      <c r="R242" s="435">
        <v>2.5000000000000001E-3</v>
      </c>
      <c r="S242" s="435"/>
      <c r="T242" s="435"/>
      <c r="U242" s="435"/>
      <c r="V242" s="435"/>
      <c r="W242" s="433">
        <v>5.9500000000000004E-2</v>
      </c>
      <c r="X242" s="18"/>
    </row>
    <row r="243" spans="1:24" x14ac:dyDescent="0.15">
      <c r="A243" s="436" t="s">
        <v>1042</v>
      </c>
      <c r="B243" s="434"/>
      <c r="C243" s="432" t="s">
        <v>1043</v>
      </c>
      <c r="D243" s="432" t="s">
        <v>1023</v>
      </c>
      <c r="E243" s="431">
        <v>4.7E-2</v>
      </c>
      <c r="F243" s="430" t="s">
        <v>641</v>
      </c>
      <c r="G243" s="435">
        <v>0.01</v>
      </c>
      <c r="H243" s="435"/>
      <c r="I243" s="435"/>
      <c r="J243" s="435"/>
      <c r="K243" s="435"/>
      <c r="L243" s="435"/>
      <c r="M243" s="435"/>
      <c r="N243" s="435"/>
      <c r="O243" s="435"/>
      <c r="P243" s="435"/>
      <c r="Q243" s="435"/>
      <c r="R243" s="435">
        <v>2.5000000000000001E-3</v>
      </c>
      <c r="S243" s="435"/>
      <c r="T243" s="435"/>
      <c r="U243" s="435"/>
      <c r="V243" s="435"/>
      <c r="W243" s="433">
        <v>5.9500000000000004E-2</v>
      </c>
      <c r="X243" s="18"/>
    </row>
    <row r="244" spans="1:24" x14ac:dyDescent="0.15">
      <c r="A244" s="436" t="s">
        <v>1044</v>
      </c>
      <c r="B244" s="528" t="s">
        <v>723</v>
      </c>
      <c r="C244" s="432" t="s">
        <v>1045</v>
      </c>
      <c r="D244" s="432" t="s">
        <v>1045</v>
      </c>
      <c r="E244" s="431">
        <v>4.7E-2</v>
      </c>
      <c r="F244" s="430" t="s">
        <v>641</v>
      </c>
      <c r="G244" s="435">
        <v>0.01</v>
      </c>
      <c r="H244" s="435">
        <v>3.0000000000000001E-3</v>
      </c>
      <c r="I244" s="435"/>
      <c r="J244" s="435"/>
      <c r="K244" s="435"/>
      <c r="L244" s="435"/>
      <c r="M244" s="435"/>
      <c r="N244" s="435"/>
      <c r="O244" s="435"/>
      <c r="P244" s="435"/>
      <c r="Q244" s="435"/>
      <c r="R244" s="435">
        <v>2.5000000000000001E-3</v>
      </c>
      <c r="S244" s="435"/>
      <c r="T244" s="435"/>
      <c r="U244" s="435"/>
      <c r="V244" s="435"/>
      <c r="W244" s="433">
        <v>6.25E-2</v>
      </c>
      <c r="X244" s="18"/>
    </row>
    <row r="245" spans="1:24" x14ac:dyDescent="0.15">
      <c r="A245" s="525"/>
      <c r="B245" s="526"/>
      <c r="C245" s="526"/>
      <c r="D245" s="526"/>
      <c r="E245" s="527"/>
      <c r="F245" s="527" t="s">
        <v>609</v>
      </c>
      <c r="G245" s="527"/>
      <c r="H245" s="527"/>
      <c r="I245" s="527"/>
      <c r="J245" s="527"/>
      <c r="K245" s="527"/>
      <c r="L245" s="527"/>
      <c r="M245" s="527"/>
      <c r="N245" s="527"/>
      <c r="O245" s="527"/>
      <c r="P245" s="527"/>
      <c r="Q245" s="527"/>
      <c r="R245" s="527"/>
      <c r="S245" s="527"/>
      <c r="T245" s="527"/>
      <c r="U245" s="527"/>
      <c r="V245" s="527"/>
      <c r="W245" s="527"/>
      <c r="X245" s="18"/>
    </row>
    <row r="246" spans="1:24" x14ac:dyDescent="0.15">
      <c r="A246" s="436" t="s">
        <v>1046</v>
      </c>
      <c r="B246" s="434"/>
      <c r="C246" s="432" t="s">
        <v>1047</v>
      </c>
      <c r="D246" s="432" t="s">
        <v>1047</v>
      </c>
      <c r="E246" s="431">
        <v>4.7E-2</v>
      </c>
      <c r="F246" s="430" t="s">
        <v>641</v>
      </c>
      <c r="G246" s="435">
        <v>0.01</v>
      </c>
      <c r="H246" s="435"/>
      <c r="I246" s="435"/>
      <c r="J246" s="435"/>
      <c r="K246" s="435"/>
      <c r="L246" s="435"/>
      <c r="M246" s="435"/>
      <c r="N246" s="435"/>
      <c r="O246" s="435">
        <v>1E-3</v>
      </c>
      <c r="P246" s="435"/>
      <c r="Q246" s="435"/>
      <c r="R246" s="435">
        <v>2.5000000000000001E-3</v>
      </c>
      <c r="S246" s="435"/>
      <c r="T246" s="435"/>
      <c r="U246" s="435"/>
      <c r="V246" s="435"/>
      <c r="W246" s="433">
        <v>6.0500000000000005E-2</v>
      </c>
      <c r="X246" s="18"/>
    </row>
    <row r="247" spans="1:24" x14ac:dyDescent="0.15">
      <c r="A247" s="436" t="s">
        <v>1048</v>
      </c>
      <c r="B247" s="434"/>
      <c r="C247" s="432" t="s">
        <v>1049</v>
      </c>
      <c r="D247" s="432" t="s">
        <v>1049</v>
      </c>
      <c r="E247" s="431">
        <v>4.7E-2</v>
      </c>
      <c r="F247" s="430" t="s">
        <v>641</v>
      </c>
      <c r="G247" s="435">
        <v>0.01</v>
      </c>
      <c r="H247" s="435"/>
      <c r="I247" s="435"/>
      <c r="J247" s="435"/>
      <c r="K247" s="435"/>
      <c r="L247" s="435"/>
      <c r="M247" s="435"/>
      <c r="N247" s="435"/>
      <c r="O247" s="435">
        <v>1E-3</v>
      </c>
      <c r="P247" s="435"/>
      <c r="Q247" s="435">
        <v>3.0000000000000001E-3</v>
      </c>
      <c r="R247" s="435">
        <v>2.5000000000000001E-3</v>
      </c>
      <c r="S247" s="435"/>
      <c r="T247" s="435"/>
      <c r="U247" s="435"/>
      <c r="V247" s="435"/>
      <c r="W247" s="433">
        <v>6.3500000000000001E-2</v>
      </c>
      <c r="X247" s="18"/>
    </row>
    <row r="248" spans="1:24" x14ac:dyDescent="0.15">
      <c r="A248" s="436" t="s">
        <v>1050</v>
      </c>
      <c r="B248" s="434"/>
      <c r="C248" s="432" t="s">
        <v>1051</v>
      </c>
      <c r="D248" s="432" t="s">
        <v>1051</v>
      </c>
      <c r="E248" s="431">
        <v>4.7E-2</v>
      </c>
      <c r="F248" s="430" t="s">
        <v>641</v>
      </c>
      <c r="G248" s="435">
        <v>0.01</v>
      </c>
      <c r="H248" s="435"/>
      <c r="I248" s="435"/>
      <c r="J248" s="435"/>
      <c r="K248" s="435"/>
      <c r="L248" s="435"/>
      <c r="M248" s="435"/>
      <c r="N248" s="435"/>
      <c r="O248" s="435">
        <v>1E-3</v>
      </c>
      <c r="P248" s="435"/>
      <c r="Q248" s="435">
        <v>3.0000000000000001E-3</v>
      </c>
      <c r="R248" s="435">
        <v>2.5000000000000001E-3</v>
      </c>
      <c r="S248" s="435"/>
      <c r="T248" s="435"/>
      <c r="U248" s="435"/>
      <c r="V248" s="435"/>
      <c r="W248" s="433">
        <v>6.3500000000000001E-2</v>
      </c>
      <c r="X248" s="18"/>
    </row>
    <row r="249" spans="1:24" x14ac:dyDescent="0.15">
      <c r="A249" s="436" t="s">
        <v>1052</v>
      </c>
      <c r="B249" s="434"/>
      <c r="C249" s="432" t="s">
        <v>1053</v>
      </c>
      <c r="D249" s="432" t="s">
        <v>1047</v>
      </c>
      <c r="E249" s="431">
        <v>4.7E-2</v>
      </c>
      <c r="F249" s="430" t="s">
        <v>641</v>
      </c>
      <c r="G249" s="435">
        <v>0.01</v>
      </c>
      <c r="H249" s="435"/>
      <c r="I249" s="435"/>
      <c r="J249" s="435"/>
      <c r="K249" s="435"/>
      <c r="L249" s="435"/>
      <c r="M249" s="435"/>
      <c r="N249" s="435"/>
      <c r="O249" s="435">
        <v>1E-3</v>
      </c>
      <c r="P249" s="435"/>
      <c r="Q249" s="435"/>
      <c r="R249" s="435">
        <v>2.5000000000000001E-3</v>
      </c>
      <c r="S249" s="435"/>
      <c r="T249" s="435"/>
      <c r="U249" s="435"/>
      <c r="V249" s="435"/>
      <c r="W249" s="433">
        <v>6.0500000000000005E-2</v>
      </c>
      <c r="X249" s="18"/>
    </row>
    <row r="250" spans="1:24" x14ac:dyDescent="0.15">
      <c r="A250" s="525"/>
      <c r="B250" s="526"/>
      <c r="C250" s="526"/>
      <c r="D250" s="526"/>
      <c r="E250" s="527"/>
      <c r="F250" s="527" t="s">
        <v>609</v>
      </c>
      <c r="G250" s="527"/>
      <c r="H250" s="527"/>
      <c r="I250" s="527"/>
      <c r="J250" s="527"/>
      <c r="K250" s="527"/>
      <c r="L250" s="527"/>
      <c r="M250" s="527"/>
      <c r="N250" s="527"/>
      <c r="O250" s="527"/>
      <c r="P250" s="527"/>
      <c r="Q250" s="527"/>
      <c r="R250" s="527"/>
      <c r="S250" s="527"/>
      <c r="T250" s="527"/>
      <c r="U250" s="527"/>
      <c r="V250" s="527"/>
      <c r="W250" s="527"/>
      <c r="X250" s="18"/>
    </row>
    <row r="251" spans="1:24" x14ac:dyDescent="0.15">
      <c r="A251" s="436" t="s">
        <v>1054</v>
      </c>
      <c r="B251" s="434"/>
      <c r="C251" s="432" t="s">
        <v>1055</v>
      </c>
      <c r="D251" s="432" t="s">
        <v>1055</v>
      </c>
      <c r="E251" s="431">
        <v>4.7E-2</v>
      </c>
      <c r="F251" s="430" t="s">
        <v>641</v>
      </c>
      <c r="G251" s="435">
        <v>0.01</v>
      </c>
      <c r="H251" s="435">
        <v>2.5000000000000001E-3</v>
      </c>
      <c r="I251" s="435"/>
      <c r="J251" s="435">
        <v>3.0000000000000001E-3</v>
      </c>
      <c r="K251" s="435"/>
      <c r="L251" s="435"/>
      <c r="M251" s="435">
        <v>2.5000000000000001E-3</v>
      </c>
      <c r="N251" s="435"/>
      <c r="O251" s="435"/>
      <c r="P251" s="435"/>
      <c r="Q251" s="435"/>
      <c r="R251" s="435">
        <v>2.5000000000000001E-3</v>
      </c>
      <c r="S251" s="435"/>
      <c r="T251" s="435"/>
      <c r="U251" s="435"/>
      <c r="V251" s="435"/>
      <c r="W251" s="433">
        <v>6.7500000000000004E-2</v>
      </c>
      <c r="X251" s="18"/>
    </row>
    <row r="252" spans="1:24" x14ac:dyDescent="0.15">
      <c r="A252" s="436" t="s">
        <v>1056</v>
      </c>
      <c r="B252" s="434"/>
      <c r="C252" s="432" t="s">
        <v>1057</v>
      </c>
      <c r="D252" s="432" t="s">
        <v>1055</v>
      </c>
      <c r="E252" s="431">
        <v>4.7E-2</v>
      </c>
      <c r="F252" s="430" t="s">
        <v>641</v>
      </c>
      <c r="G252" s="435">
        <v>0.01</v>
      </c>
      <c r="H252" s="435">
        <v>2.5000000000000001E-3</v>
      </c>
      <c r="I252" s="435"/>
      <c r="J252" s="435">
        <v>3.0000000000000001E-3</v>
      </c>
      <c r="K252" s="435"/>
      <c r="L252" s="435"/>
      <c r="M252" s="435">
        <v>2.5000000000000001E-3</v>
      </c>
      <c r="N252" s="435"/>
      <c r="O252" s="435"/>
      <c r="P252" s="435"/>
      <c r="Q252" s="435"/>
      <c r="R252" s="435">
        <v>2.5000000000000001E-3</v>
      </c>
      <c r="S252" s="435"/>
      <c r="T252" s="435"/>
      <c r="U252" s="435"/>
      <c r="V252" s="435"/>
      <c r="W252" s="433">
        <v>6.7500000000000004E-2</v>
      </c>
      <c r="X252" s="18"/>
    </row>
    <row r="253" spans="1:24" x14ac:dyDescent="0.15">
      <c r="A253" s="436" t="s">
        <v>1058</v>
      </c>
      <c r="B253" s="434"/>
      <c r="C253" s="432" t="s">
        <v>1059</v>
      </c>
      <c r="D253" s="432" t="s">
        <v>1055</v>
      </c>
      <c r="E253" s="431">
        <v>4.7E-2</v>
      </c>
      <c r="F253" s="430" t="s">
        <v>641</v>
      </c>
      <c r="G253" s="435">
        <v>0.01</v>
      </c>
      <c r="H253" s="435">
        <v>2.5000000000000001E-3</v>
      </c>
      <c r="I253" s="435"/>
      <c r="J253" s="435">
        <v>3.0000000000000001E-3</v>
      </c>
      <c r="K253" s="435"/>
      <c r="L253" s="435"/>
      <c r="M253" s="435">
        <v>2.5000000000000001E-3</v>
      </c>
      <c r="N253" s="435"/>
      <c r="O253" s="435"/>
      <c r="P253" s="435"/>
      <c r="Q253" s="435"/>
      <c r="R253" s="435">
        <v>2.5000000000000001E-3</v>
      </c>
      <c r="S253" s="435"/>
      <c r="T253" s="435"/>
      <c r="U253" s="435"/>
      <c r="V253" s="435"/>
      <c r="W253" s="433">
        <v>6.7500000000000004E-2</v>
      </c>
      <c r="X253" s="18"/>
    </row>
    <row r="254" spans="1:24" x14ac:dyDescent="0.15">
      <c r="A254" s="436" t="s">
        <v>1339</v>
      </c>
      <c r="B254" s="434"/>
      <c r="C254" s="432" t="s">
        <v>1340</v>
      </c>
      <c r="D254" s="432" t="s">
        <v>1107</v>
      </c>
      <c r="E254" s="431">
        <v>4.7E-2</v>
      </c>
      <c r="F254" s="430" t="s">
        <v>641</v>
      </c>
      <c r="G254" s="435">
        <v>0.01</v>
      </c>
      <c r="H254" s="435">
        <v>2.5000000000000001E-3</v>
      </c>
      <c r="I254" s="435"/>
      <c r="J254" s="435">
        <v>3.0000000000000001E-3</v>
      </c>
      <c r="K254" s="435"/>
      <c r="L254" s="435"/>
      <c r="M254" s="435">
        <v>2.5000000000000001E-3</v>
      </c>
      <c r="N254" s="435"/>
      <c r="O254" s="435"/>
      <c r="P254" s="435"/>
      <c r="Q254" s="435"/>
      <c r="R254" s="435">
        <v>2.5000000000000001E-3</v>
      </c>
      <c r="S254" s="435"/>
      <c r="T254" s="435"/>
      <c r="U254" s="435"/>
      <c r="V254" s="435"/>
      <c r="W254" s="433">
        <v>6.7500000000000004E-2</v>
      </c>
      <c r="X254" s="18"/>
    </row>
    <row r="255" spans="1:24" x14ac:dyDescent="0.15">
      <c r="A255" s="436" t="s">
        <v>1060</v>
      </c>
      <c r="B255" s="434"/>
      <c r="C255" s="529" t="s">
        <v>1061</v>
      </c>
      <c r="D255" s="529" t="s">
        <v>1055</v>
      </c>
      <c r="E255" s="431">
        <v>4.7E-2</v>
      </c>
      <c r="F255" s="430" t="s">
        <v>641</v>
      </c>
      <c r="G255" s="435">
        <v>0.01</v>
      </c>
      <c r="H255" s="435">
        <v>2.5000000000000001E-3</v>
      </c>
      <c r="I255" s="435"/>
      <c r="J255" s="435">
        <v>3.0000000000000001E-3</v>
      </c>
      <c r="K255" s="435"/>
      <c r="L255" s="435"/>
      <c r="M255" s="435">
        <v>2.5000000000000001E-3</v>
      </c>
      <c r="N255" s="435"/>
      <c r="O255" s="435"/>
      <c r="P255" s="435"/>
      <c r="Q255" s="435"/>
      <c r="R255" s="435">
        <v>2.5000000000000001E-3</v>
      </c>
      <c r="S255" s="435"/>
      <c r="T255" s="435"/>
      <c r="U255" s="435"/>
      <c r="V255" s="435"/>
      <c r="W255" s="433">
        <v>6.7500000000000004E-2</v>
      </c>
      <c r="X255" s="18"/>
    </row>
    <row r="256" spans="1:24" x14ac:dyDescent="0.15">
      <c r="A256" s="436" t="s">
        <v>1062</v>
      </c>
      <c r="B256" s="434"/>
      <c r="C256" s="432" t="s">
        <v>1063</v>
      </c>
      <c r="D256" s="432" t="s">
        <v>1055</v>
      </c>
      <c r="E256" s="431">
        <v>4.7E-2</v>
      </c>
      <c r="F256" s="430" t="s">
        <v>641</v>
      </c>
      <c r="G256" s="435">
        <v>0.01</v>
      </c>
      <c r="H256" s="435">
        <v>2.5000000000000001E-3</v>
      </c>
      <c r="I256" s="435"/>
      <c r="J256" s="435">
        <v>3.0000000000000001E-3</v>
      </c>
      <c r="K256" s="435"/>
      <c r="L256" s="435"/>
      <c r="M256" s="435">
        <v>2.5000000000000001E-3</v>
      </c>
      <c r="N256" s="435"/>
      <c r="O256" s="435"/>
      <c r="P256" s="435"/>
      <c r="Q256" s="435"/>
      <c r="R256" s="435">
        <v>2.5000000000000001E-3</v>
      </c>
      <c r="S256" s="435"/>
      <c r="T256" s="435"/>
      <c r="U256" s="435"/>
      <c r="V256" s="435"/>
      <c r="W256" s="433">
        <v>6.7500000000000004E-2</v>
      </c>
      <c r="X256" s="18"/>
    </row>
    <row r="257" spans="1:24" x14ac:dyDescent="0.15">
      <c r="A257" s="436" t="s">
        <v>1064</v>
      </c>
      <c r="B257" s="434"/>
      <c r="C257" s="529" t="s">
        <v>1065</v>
      </c>
      <c r="D257" s="529" t="s">
        <v>1055</v>
      </c>
      <c r="E257" s="431">
        <v>4.7E-2</v>
      </c>
      <c r="F257" s="430" t="s">
        <v>641</v>
      </c>
      <c r="G257" s="435">
        <v>0.01</v>
      </c>
      <c r="H257" s="435">
        <v>2.5000000000000001E-3</v>
      </c>
      <c r="I257" s="435"/>
      <c r="J257" s="435">
        <v>3.0000000000000001E-3</v>
      </c>
      <c r="K257" s="435"/>
      <c r="L257" s="435"/>
      <c r="M257" s="435">
        <v>2.5000000000000001E-3</v>
      </c>
      <c r="N257" s="435"/>
      <c r="O257" s="435"/>
      <c r="P257" s="435"/>
      <c r="Q257" s="435"/>
      <c r="R257" s="435">
        <v>2.5000000000000001E-3</v>
      </c>
      <c r="S257" s="435"/>
      <c r="T257" s="435"/>
      <c r="U257" s="435"/>
      <c r="V257" s="435"/>
      <c r="W257" s="433">
        <v>6.7500000000000004E-2</v>
      </c>
      <c r="X257" s="18"/>
    </row>
    <row r="258" spans="1:24" x14ac:dyDescent="0.15">
      <c r="A258" s="436" t="s">
        <v>1066</v>
      </c>
      <c r="B258" s="434"/>
      <c r="C258" s="529" t="s">
        <v>1067</v>
      </c>
      <c r="D258" s="529" t="s">
        <v>1055</v>
      </c>
      <c r="E258" s="431">
        <v>4.7E-2</v>
      </c>
      <c r="F258" s="430" t="s">
        <v>641</v>
      </c>
      <c r="G258" s="435">
        <v>0.01</v>
      </c>
      <c r="H258" s="435">
        <v>2.5000000000000001E-3</v>
      </c>
      <c r="I258" s="435"/>
      <c r="J258" s="435">
        <v>3.0000000000000001E-3</v>
      </c>
      <c r="K258" s="435"/>
      <c r="L258" s="435"/>
      <c r="M258" s="435">
        <v>2.5000000000000001E-3</v>
      </c>
      <c r="N258" s="435"/>
      <c r="O258" s="435"/>
      <c r="P258" s="435"/>
      <c r="Q258" s="435"/>
      <c r="R258" s="435">
        <v>2.5000000000000001E-3</v>
      </c>
      <c r="S258" s="435"/>
      <c r="T258" s="435"/>
      <c r="U258" s="435"/>
      <c r="V258" s="435"/>
      <c r="W258" s="433">
        <v>6.7500000000000004E-2</v>
      </c>
      <c r="X258" s="18"/>
    </row>
    <row r="259" spans="1:24" x14ac:dyDescent="0.15">
      <c r="A259" s="436" t="s">
        <v>1068</v>
      </c>
      <c r="B259" s="434"/>
      <c r="C259" s="432" t="s">
        <v>1069</v>
      </c>
      <c r="D259" s="432" t="s">
        <v>1055</v>
      </c>
      <c r="E259" s="431">
        <v>4.7E-2</v>
      </c>
      <c r="F259" s="430" t="s">
        <v>641</v>
      </c>
      <c r="G259" s="435">
        <v>0.01</v>
      </c>
      <c r="H259" s="435">
        <v>2.5000000000000001E-3</v>
      </c>
      <c r="I259" s="435"/>
      <c r="J259" s="435">
        <v>3.0000000000000001E-3</v>
      </c>
      <c r="K259" s="435"/>
      <c r="L259" s="435"/>
      <c r="M259" s="435">
        <v>2.5000000000000001E-3</v>
      </c>
      <c r="N259" s="435"/>
      <c r="O259" s="435"/>
      <c r="P259" s="435"/>
      <c r="Q259" s="435"/>
      <c r="R259" s="435">
        <v>2.5000000000000001E-3</v>
      </c>
      <c r="S259" s="435"/>
      <c r="T259" s="435"/>
      <c r="U259" s="435"/>
      <c r="V259" s="435"/>
      <c r="W259" s="433">
        <v>6.7500000000000004E-2</v>
      </c>
      <c r="X259" s="18"/>
    </row>
    <row r="260" spans="1:24" x14ac:dyDescent="0.15">
      <c r="A260" s="436" t="s">
        <v>1070</v>
      </c>
      <c r="B260" s="434"/>
      <c r="C260" s="432" t="s">
        <v>1071</v>
      </c>
      <c r="D260" s="432" t="s">
        <v>1055</v>
      </c>
      <c r="E260" s="431">
        <v>4.7E-2</v>
      </c>
      <c r="F260" s="430" t="s">
        <v>641</v>
      </c>
      <c r="G260" s="435">
        <v>0.01</v>
      </c>
      <c r="H260" s="435">
        <v>2.5000000000000001E-3</v>
      </c>
      <c r="I260" s="435"/>
      <c r="J260" s="435">
        <v>3.0000000000000001E-3</v>
      </c>
      <c r="K260" s="435"/>
      <c r="L260" s="435"/>
      <c r="M260" s="435">
        <v>2.5000000000000001E-3</v>
      </c>
      <c r="N260" s="435"/>
      <c r="O260" s="435"/>
      <c r="P260" s="435"/>
      <c r="Q260" s="435"/>
      <c r="R260" s="435">
        <v>2.5000000000000001E-3</v>
      </c>
      <c r="S260" s="435"/>
      <c r="T260" s="435"/>
      <c r="U260" s="435"/>
      <c r="V260" s="435"/>
      <c r="W260" s="433">
        <v>6.7500000000000004E-2</v>
      </c>
      <c r="X260" s="18"/>
    </row>
    <row r="261" spans="1:24" x14ac:dyDescent="0.15">
      <c r="A261" s="436" t="s">
        <v>1072</v>
      </c>
      <c r="B261" s="434"/>
      <c r="C261" s="432" t="s">
        <v>1073</v>
      </c>
      <c r="D261" s="432" t="s">
        <v>1055</v>
      </c>
      <c r="E261" s="431">
        <v>4.7E-2</v>
      </c>
      <c r="F261" s="430" t="s">
        <v>641</v>
      </c>
      <c r="G261" s="435">
        <v>0.01</v>
      </c>
      <c r="H261" s="435">
        <v>2.5000000000000001E-3</v>
      </c>
      <c r="I261" s="435"/>
      <c r="J261" s="435">
        <v>3.0000000000000001E-3</v>
      </c>
      <c r="K261" s="435"/>
      <c r="L261" s="435"/>
      <c r="M261" s="435">
        <v>2.5000000000000001E-3</v>
      </c>
      <c r="N261" s="435"/>
      <c r="O261" s="435"/>
      <c r="P261" s="435"/>
      <c r="Q261" s="435"/>
      <c r="R261" s="435">
        <v>2.5000000000000001E-3</v>
      </c>
      <c r="S261" s="435"/>
      <c r="T261" s="435"/>
      <c r="U261" s="435"/>
      <c r="V261" s="435"/>
      <c r="W261" s="433">
        <v>6.7500000000000004E-2</v>
      </c>
      <c r="X261" s="18"/>
    </row>
    <row r="262" spans="1:24" x14ac:dyDescent="0.15">
      <c r="A262" s="436" t="s">
        <v>1074</v>
      </c>
      <c r="B262" s="434"/>
      <c r="C262" s="432" t="s">
        <v>1075</v>
      </c>
      <c r="D262" s="432" t="s">
        <v>1055</v>
      </c>
      <c r="E262" s="431">
        <v>4.7E-2</v>
      </c>
      <c r="F262" s="430" t="s">
        <v>641</v>
      </c>
      <c r="G262" s="435">
        <v>0.01</v>
      </c>
      <c r="H262" s="435">
        <v>2.5000000000000001E-3</v>
      </c>
      <c r="I262" s="435"/>
      <c r="J262" s="435">
        <v>3.0000000000000001E-3</v>
      </c>
      <c r="K262" s="435"/>
      <c r="L262" s="435"/>
      <c r="M262" s="435">
        <v>2.5000000000000001E-3</v>
      </c>
      <c r="N262" s="435"/>
      <c r="O262" s="435"/>
      <c r="P262" s="435"/>
      <c r="Q262" s="435"/>
      <c r="R262" s="435">
        <v>2.5000000000000001E-3</v>
      </c>
      <c r="S262" s="435"/>
      <c r="T262" s="435"/>
      <c r="U262" s="435"/>
      <c r="V262" s="435"/>
      <c r="W262" s="433">
        <v>6.7500000000000004E-2</v>
      </c>
      <c r="X262" s="18"/>
    </row>
    <row r="263" spans="1:24" x14ac:dyDescent="0.15">
      <c r="A263" s="436" t="s">
        <v>1076</v>
      </c>
      <c r="B263" s="434"/>
      <c r="C263" s="432" t="s">
        <v>1077</v>
      </c>
      <c r="D263" s="432" t="s">
        <v>1055</v>
      </c>
      <c r="E263" s="431">
        <v>4.7E-2</v>
      </c>
      <c r="F263" s="430" t="s">
        <v>641</v>
      </c>
      <c r="G263" s="435">
        <v>0.01</v>
      </c>
      <c r="H263" s="435">
        <v>2.5000000000000001E-3</v>
      </c>
      <c r="I263" s="435"/>
      <c r="J263" s="435">
        <v>3.0000000000000001E-3</v>
      </c>
      <c r="K263" s="435"/>
      <c r="L263" s="435"/>
      <c r="M263" s="435">
        <v>2.5000000000000001E-3</v>
      </c>
      <c r="N263" s="435"/>
      <c r="O263" s="435"/>
      <c r="P263" s="435"/>
      <c r="Q263" s="435"/>
      <c r="R263" s="435">
        <v>2.5000000000000001E-3</v>
      </c>
      <c r="S263" s="435"/>
      <c r="T263" s="435"/>
      <c r="U263" s="435"/>
      <c r="V263" s="435"/>
      <c r="W263" s="433">
        <v>6.7500000000000004E-2</v>
      </c>
      <c r="X263" s="18"/>
    </row>
    <row r="264" spans="1:24" x14ac:dyDescent="0.15">
      <c r="A264" s="436" t="s">
        <v>1078</v>
      </c>
      <c r="B264" s="434"/>
      <c r="C264" s="432" t="s">
        <v>1079</v>
      </c>
      <c r="D264" s="432" t="s">
        <v>1055</v>
      </c>
      <c r="E264" s="431">
        <v>4.7E-2</v>
      </c>
      <c r="F264" s="430" t="s">
        <v>641</v>
      </c>
      <c r="G264" s="435">
        <v>0.01</v>
      </c>
      <c r="H264" s="435">
        <v>2.5000000000000001E-3</v>
      </c>
      <c r="I264" s="435"/>
      <c r="J264" s="435">
        <v>3.0000000000000001E-3</v>
      </c>
      <c r="K264" s="435"/>
      <c r="L264" s="435"/>
      <c r="M264" s="435">
        <v>2.5000000000000001E-3</v>
      </c>
      <c r="N264" s="435"/>
      <c r="O264" s="435"/>
      <c r="P264" s="435">
        <v>1E-3</v>
      </c>
      <c r="Q264" s="435"/>
      <c r="R264" s="435">
        <v>2.5000000000000001E-3</v>
      </c>
      <c r="S264" s="435"/>
      <c r="T264" s="435"/>
      <c r="U264" s="435"/>
      <c r="V264" s="435"/>
      <c r="W264" s="433">
        <v>6.8500000000000005E-2</v>
      </c>
      <c r="X264" s="18"/>
    </row>
    <row r="265" spans="1:24" x14ac:dyDescent="0.15">
      <c r="A265" s="436" t="s">
        <v>1080</v>
      </c>
      <c r="B265" s="434"/>
      <c r="C265" s="432" t="s">
        <v>1081</v>
      </c>
      <c r="D265" s="432" t="s">
        <v>1079</v>
      </c>
      <c r="E265" s="431">
        <v>4.7E-2</v>
      </c>
      <c r="F265" s="430" t="s">
        <v>641</v>
      </c>
      <c r="G265" s="435">
        <v>0.01</v>
      </c>
      <c r="H265" s="435">
        <v>2.5000000000000001E-3</v>
      </c>
      <c r="I265" s="435"/>
      <c r="J265" s="435">
        <v>3.0000000000000001E-3</v>
      </c>
      <c r="K265" s="435"/>
      <c r="L265" s="435"/>
      <c r="M265" s="435">
        <v>2.5000000000000001E-3</v>
      </c>
      <c r="N265" s="435"/>
      <c r="O265" s="435"/>
      <c r="P265" s="435"/>
      <c r="Q265" s="435"/>
      <c r="R265" s="435">
        <v>2.5000000000000001E-3</v>
      </c>
      <c r="S265" s="435"/>
      <c r="T265" s="435"/>
      <c r="U265" s="435"/>
      <c r="V265" s="435"/>
      <c r="W265" s="433">
        <v>6.7500000000000004E-2</v>
      </c>
      <c r="X265" s="18"/>
    </row>
    <row r="266" spans="1:24" x14ac:dyDescent="0.15">
      <c r="A266" s="436" t="s">
        <v>1082</v>
      </c>
      <c r="B266" s="434"/>
      <c r="C266" s="432" t="s">
        <v>1083</v>
      </c>
      <c r="D266" s="432" t="s">
        <v>1055</v>
      </c>
      <c r="E266" s="431">
        <v>4.7E-2</v>
      </c>
      <c r="F266" s="430" t="s">
        <v>641</v>
      </c>
      <c r="G266" s="435">
        <v>0.01</v>
      </c>
      <c r="H266" s="435">
        <v>2.5000000000000001E-3</v>
      </c>
      <c r="I266" s="435"/>
      <c r="J266" s="435">
        <v>3.0000000000000001E-3</v>
      </c>
      <c r="K266" s="435"/>
      <c r="L266" s="435"/>
      <c r="M266" s="435">
        <v>2.5000000000000001E-3</v>
      </c>
      <c r="N266" s="435"/>
      <c r="O266" s="435"/>
      <c r="P266" s="435"/>
      <c r="Q266" s="435"/>
      <c r="R266" s="435">
        <v>2.5000000000000001E-3</v>
      </c>
      <c r="S266" s="435"/>
      <c r="T266" s="435"/>
      <c r="U266" s="435"/>
      <c r="V266" s="435"/>
      <c r="W266" s="433">
        <v>6.7500000000000004E-2</v>
      </c>
      <c r="X266" s="18"/>
    </row>
    <row r="267" spans="1:24" x14ac:dyDescent="0.15">
      <c r="A267" s="436" t="s">
        <v>1084</v>
      </c>
      <c r="B267" s="434"/>
      <c r="C267" s="432" t="s">
        <v>1085</v>
      </c>
      <c r="D267" s="432" t="s">
        <v>1055</v>
      </c>
      <c r="E267" s="431">
        <v>4.7E-2</v>
      </c>
      <c r="F267" s="430" t="s">
        <v>641</v>
      </c>
      <c r="G267" s="435">
        <v>0.01</v>
      </c>
      <c r="H267" s="435">
        <v>2.5000000000000001E-3</v>
      </c>
      <c r="I267" s="435"/>
      <c r="J267" s="435">
        <v>3.0000000000000001E-3</v>
      </c>
      <c r="K267" s="435"/>
      <c r="L267" s="435"/>
      <c r="M267" s="435">
        <v>2.5000000000000001E-3</v>
      </c>
      <c r="N267" s="435"/>
      <c r="O267" s="435"/>
      <c r="P267" s="435"/>
      <c r="Q267" s="435"/>
      <c r="R267" s="435">
        <v>2.5000000000000001E-3</v>
      </c>
      <c r="S267" s="435"/>
      <c r="T267" s="435"/>
      <c r="U267" s="435"/>
      <c r="V267" s="435"/>
      <c r="W267" s="433">
        <v>6.7500000000000004E-2</v>
      </c>
      <c r="X267" s="18"/>
    </row>
    <row r="268" spans="1:24" x14ac:dyDescent="0.15">
      <c r="A268" s="436" t="s">
        <v>1086</v>
      </c>
      <c r="B268" s="434"/>
      <c r="C268" s="432" t="s">
        <v>1087</v>
      </c>
      <c r="D268" s="432" t="s">
        <v>1055</v>
      </c>
      <c r="E268" s="431">
        <v>4.7E-2</v>
      </c>
      <c r="F268" s="430" t="s">
        <v>641</v>
      </c>
      <c r="G268" s="435">
        <v>0.01</v>
      </c>
      <c r="H268" s="435">
        <v>2.5000000000000001E-3</v>
      </c>
      <c r="I268" s="435"/>
      <c r="J268" s="435">
        <v>3.0000000000000001E-3</v>
      </c>
      <c r="K268" s="435"/>
      <c r="L268" s="435"/>
      <c r="M268" s="435">
        <v>2.5000000000000001E-3</v>
      </c>
      <c r="N268" s="435"/>
      <c r="O268" s="435"/>
      <c r="P268" s="435"/>
      <c r="Q268" s="435"/>
      <c r="R268" s="435">
        <v>2.5000000000000001E-3</v>
      </c>
      <c r="S268" s="435"/>
      <c r="T268" s="435"/>
      <c r="U268" s="435"/>
      <c r="V268" s="435"/>
      <c r="W268" s="433">
        <v>6.7500000000000004E-2</v>
      </c>
      <c r="X268" s="18"/>
    </row>
    <row r="269" spans="1:24" x14ac:dyDescent="0.15">
      <c r="A269" s="436" t="s">
        <v>1088</v>
      </c>
      <c r="B269" s="434"/>
      <c r="C269" s="432" t="s">
        <v>1089</v>
      </c>
      <c r="D269" s="432" t="s">
        <v>1055</v>
      </c>
      <c r="E269" s="431">
        <v>4.7E-2</v>
      </c>
      <c r="F269" s="430" t="s">
        <v>641</v>
      </c>
      <c r="G269" s="435">
        <v>0.01</v>
      </c>
      <c r="H269" s="435">
        <v>2.5000000000000001E-3</v>
      </c>
      <c r="I269" s="435"/>
      <c r="J269" s="435">
        <v>3.0000000000000001E-3</v>
      </c>
      <c r="K269" s="435"/>
      <c r="L269" s="435"/>
      <c r="M269" s="435">
        <v>2.5000000000000001E-3</v>
      </c>
      <c r="N269" s="435"/>
      <c r="O269" s="435"/>
      <c r="P269" s="435"/>
      <c r="Q269" s="435"/>
      <c r="R269" s="435">
        <v>2.5000000000000001E-3</v>
      </c>
      <c r="S269" s="435"/>
      <c r="T269" s="435"/>
      <c r="U269" s="435"/>
      <c r="V269" s="435"/>
      <c r="W269" s="433">
        <v>6.7500000000000004E-2</v>
      </c>
      <c r="X269" s="18"/>
    </row>
    <row r="270" spans="1:24" x14ac:dyDescent="0.15">
      <c r="A270" s="436" t="s">
        <v>1090</v>
      </c>
      <c r="B270" s="434"/>
      <c r="C270" s="432" t="s">
        <v>1091</v>
      </c>
      <c r="D270" s="432" t="s">
        <v>1055</v>
      </c>
      <c r="E270" s="431">
        <v>4.7E-2</v>
      </c>
      <c r="F270" s="430" t="s">
        <v>641</v>
      </c>
      <c r="G270" s="435">
        <v>0.01</v>
      </c>
      <c r="H270" s="435">
        <v>2.5000000000000001E-3</v>
      </c>
      <c r="I270" s="435"/>
      <c r="J270" s="435">
        <v>3.0000000000000001E-3</v>
      </c>
      <c r="K270" s="435"/>
      <c r="L270" s="435"/>
      <c r="M270" s="435">
        <v>2.5000000000000001E-3</v>
      </c>
      <c r="N270" s="435"/>
      <c r="O270" s="435"/>
      <c r="P270" s="435"/>
      <c r="Q270" s="435"/>
      <c r="R270" s="435">
        <v>2.5000000000000001E-3</v>
      </c>
      <c r="S270" s="435"/>
      <c r="T270" s="435"/>
      <c r="U270" s="435"/>
      <c r="V270" s="435"/>
      <c r="W270" s="433">
        <v>6.7500000000000004E-2</v>
      </c>
      <c r="X270" s="18"/>
    </row>
    <row r="271" spans="1:24" x14ac:dyDescent="0.15">
      <c r="A271" s="436" t="s">
        <v>1092</v>
      </c>
      <c r="B271" s="434"/>
      <c r="C271" s="432" t="s">
        <v>1093</v>
      </c>
      <c r="D271" s="432" t="s">
        <v>1055</v>
      </c>
      <c r="E271" s="431">
        <v>4.7E-2</v>
      </c>
      <c r="F271" s="430" t="s">
        <v>641</v>
      </c>
      <c r="G271" s="435">
        <v>0.01</v>
      </c>
      <c r="H271" s="435">
        <v>2.5000000000000001E-3</v>
      </c>
      <c r="I271" s="435"/>
      <c r="J271" s="435">
        <v>3.0000000000000001E-3</v>
      </c>
      <c r="K271" s="435"/>
      <c r="L271" s="435"/>
      <c r="M271" s="435">
        <v>2.5000000000000001E-3</v>
      </c>
      <c r="N271" s="435"/>
      <c r="O271" s="435"/>
      <c r="P271" s="435"/>
      <c r="Q271" s="435"/>
      <c r="R271" s="435">
        <v>2.5000000000000001E-3</v>
      </c>
      <c r="S271" s="435"/>
      <c r="T271" s="435"/>
      <c r="U271" s="435"/>
      <c r="V271" s="435"/>
      <c r="W271" s="433">
        <v>6.7500000000000004E-2</v>
      </c>
      <c r="X271" s="18"/>
    </row>
    <row r="272" spans="1:24" x14ac:dyDescent="0.15">
      <c r="A272" s="436" t="s">
        <v>1094</v>
      </c>
      <c r="B272" s="434"/>
      <c r="C272" s="432" t="s">
        <v>1095</v>
      </c>
      <c r="D272" s="432" t="s">
        <v>1055</v>
      </c>
      <c r="E272" s="431">
        <v>4.7E-2</v>
      </c>
      <c r="F272" s="430" t="s">
        <v>641</v>
      </c>
      <c r="G272" s="435">
        <v>0.01</v>
      </c>
      <c r="H272" s="435">
        <v>2.5000000000000001E-3</v>
      </c>
      <c r="I272" s="435"/>
      <c r="J272" s="435">
        <v>3.0000000000000001E-3</v>
      </c>
      <c r="K272" s="435"/>
      <c r="L272" s="435"/>
      <c r="M272" s="435">
        <v>2.5000000000000001E-3</v>
      </c>
      <c r="N272" s="435"/>
      <c r="O272" s="435"/>
      <c r="P272" s="435"/>
      <c r="Q272" s="435"/>
      <c r="R272" s="435">
        <v>2.5000000000000001E-3</v>
      </c>
      <c r="S272" s="435"/>
      <c r="T272" s="435"/>
      <c r="U272" s="435"/>
      <c r="V272" s="435"/>
      <c r="W272" s="433">
        <v>6.7500000000000004E-2</v>
      </c>
      <c r="X272" s="18"/>
    </row>
    <row r="273" spans="1:24" x14ac:dyDescent="0.15">
      <c r="A273" s="436" t="s">
        <v>1096</v>
      </c>
      <c r="B273" s="434"/>
      <c r="C273" s="432" t="s">
        <v>1097</v>
      </c>
      <c r="D273" s="432" t="s">
        <v>1055</v>
      </c>
      <c r="E273" s="431">
        <v>4.7E-2</v>
      </c>
      <c r="F273" s="430" t="s">
        <v>641</v>
      </c>
      <c r="G273" s="435">
        <v>0.01</v>
      </c>
      <c r="H273" s="435">
        <v>2.5000000000000001E-3</v>
      </c>
      <c r="I273" s="435"/>
      <c r="J273" s="435">
        <v>3.0000000000000001E-3</v>
      </c>
      <c r="K273" s="435"/>
      <c r="L273" s="435"/>
      <c r="M273" s="435">
        <v>2.5000000000000001E-3</v>
      </c>
      <c r="N273" s="435"/>
      <c r="O273" s="435"/>
      <c r="P273" s="435"/>
      <c r="Q273" s="435"/>
      <c r="R273" s="435">
        <v>2.5000000000000001E-3</v>
      </c>
      <c r="S273" s="435"/>
      <c r="T273" s="435"/>
      <c r="U273" s="435"/>
      <c r="V273" s="435"/>
      <c r="W273" s="433">
        <v>6.7500000000000004E-2</v>
      </c>
      <c r="X273" s="18"/>
    </row>
    <row r="274" spans="1:24" x14ac:dyDescent="0.15">
      <c r="A274" s="436" t="s">
        <v>1098</v>
      </c>
      <c r="B274" s="434"/>
      <c r="C274" s="432" t="s">
        <v>1099</v>
      </c>
      <c r="D274" s="432" t="s">
        <v>1055</v>
      </c>
      <c r="E274" s="431">
        <v>4.7E-2</v>
      </c>
      <c r="F274" s="430" t="s">
        <v>641</v>
      </c>
      <c r="G274" s="435">
        <v>0.01</v>
      </c>
      <c r="H274" s="435">
        <v>2.5000000000000001E-3</v>
      </c>
      <c r="I274" s="435"/>
      <c r="J274" s="435">
        <v>3.0000000000000001E-3</v>
      </c>
      <c r="K274" s="435"/>
      <c r="L274" s="435"/>
      <c r="M274" s="435">
        <v>2.5000000000000001E-3</v>
      </c>
      <c r="N274" s="435"/>
      <c r="O274" s="435"/>
      <c r="P274" s="435"/>
      <c r="Q274" s="435"/>
      <c r="R274" s="435">
        <v>2.5000000000000001E-3</v>
      </c>
      <c r="S274" s="435"/>
      <c r="T274" s="435"/>
      <c r="U274" s="435"/>
      <c r="V274" s="435"/>
      <c r="W274" s="433">
        <v>6.7500000000000004E-2</v>
      </c>
      <c r="X274" s="18"/>
    </row>
    <row r="275" spans="1:24" x14ac:dyDescent="0.15">
      <c r="A275" s="436" t="s">
        <v>1100</v>
      </c>
      <c r="B275" s="434"/>
      <c r="C275" s="432" t="s">
        <v>1101</v>
      </c>
      <c r="D275" s="432" t="s">
        <v>1055</v>
      </c>
      <c r="E275" s="431">
        <v>4.7E-2</v>
      </c>
      <c r="F275" s="430" t="s">
        <v>641</v>
      </c>
      <c r="G275" s="435">
        <v>0.01</v>
      </c>
      <c r="H275" s="435">
        <v>2.5000000000000001E-3</v>
      </c>
      <c r="I275" s="435"/>
      <c r="J275" s="435">
        <v>3.0000000000000001E-3</v>
      </c>
      <c r="K275" s="435"/>
      <c r="L275" s="435"/>
      <c r="M275" s="435">
        <v>2.5000000000000001E-3</v>
      </c>
      <c r="N275" s="435"/>
      <c r="O275" s="435"/>
      <c r="P275" s="435">
        <v>1E-3</v>
      </c>
      <c r="Q275" s="435"/>
      <c r="R275" s="435">
        <v>2.5000000000000001E-3</v>
      </c>
      <c r="S275" s="435"/>
      <c r="T275" s="435"/>
      <c r="U275" s="435"/>
      <c r="V275" s="435"/>
      <c r="W275" s="433">
        <v>6.8500000000000005E-2</v>
      </c>
      <c r="X275" s="18"/>
    </row>
    <row r="276" spans="1:24" x14ac:dyDescent="0.15">
      <c r="A276" s="436" t="s">
        <v>1102</v>
      </c>
      <c r="B276" s="434"/>
      <c r="C276" s="432" t="s">
        <v>1103</v>
      </c>
      <c r="D276" s="432" t="s">
        <v>1101</v>
      </c>
      <c r="E276" s="431">
        <v>4.7E-2</v>
      </c>
      <c r="F276" s="430" t="s">
        <v>641</v>
      </c>
      <c r="G276" s="435">
        <v>0.01</v>
      </c>
      <c r="H276" s="435">
        <v>2.5000000000000001E-3</v>
      </c>
      <c r="I276" s="435"/>
      <c r="J276" s="435">
        <v>3.0000000000000001E-3</v>
      </c>
      <c r="K276" s="435"/>
      <c r="L276" s="435"/>
      <c r="M276" s="435">
        <v>2.5000000000000001E-3</v>
      </c>
      <c r="N276" s="435"/>
      <c r="O276" s="435"/>
      <c r="P276" s="435"/>
      <c r="Q276" s="435"/>
      <c r="R276" s="435">
        <v>2.5000000000000001E-3</v>
      </c>
      <c r="S276" s="435"/>
      <c r="T276" s="435"/>
      <c r="U276" s="435"/>
      <c r="V276" s="435"/>
      <c r="W276" s="433">
        <v>6.7500000000000004E-2</v>
      </c>
      <c r="X276" s="18"/>
    </row>
    <row r="277" spans="1:24" x14ac:dyDescent="0.15">
      <c r="A277" s="436" t="s">
        <v>1104</v>
      </c>
      <c r="B277" s="434"/>
      <c r="C277" s="432" t="s">
        <v>1105</v>
      </c>
      <c r="D277" s="432" t="s">
        <v>1055</v>
      </c>
      <c r="E277" s="431">
        <v>4.7E-2</v>
      </c>
      <c r="F277" s="430" t="s">
        <v>641</v>
      </c>
      <c r="G277" s="435">
        <v>0.01</v>
      </c>
      <c r="H277" s="435">
        <v>2.5000000000000001E-3</v>
      </c>
      <c r="I277" s="435"/>
      <c r="J277" s="435">
        <v>3.0000000000000001E-3</v>
      </c>
      <c r="K277" s="435"/>
      <c r="L277" s="435"/>
      <c r="M277" s="435">
        <v>2.5000000000000001E-3</v>
      </c>
      <c r="N277" s="435"/>
      <c r="O277" s="435"/>
      <c r="P277" s="435"/>
      <c r="Q277" s="435"/>
      <c r="R277" s="435">
        <v>2.5000000000000001E-3</v>
      </c>
      <c r="S277" s="435"/>
      <c r="T277" s="435"/>
      <c r="U277" s="435"/>
      <c r="V277" s="435"/>
      <c r="W277" s="433">
        <v>6.7500000000000004E-2</v>
      </c>
      <c r="X277" s="18"/>
    </row>
    <row r="278" spans="1:24" x14ac:dyDescent="0.15">
      <c r="A278" s="530" t="s">
        <v>1341</v>
      </c>
      <c r="B278" s="434" t="s">
        <v>723</v>
      </c>
      <c r="C278" s="529" t="s">
        <v>1342</v>
      </c>
      <c r="D278" s="432">
        <v>0</v>
      </c>
      <c r="E278" s="431">
        <v>4.7E-2</v>
      </c>
      <c r="F278" s="430" t="s">
        <v>641</v>
      </c>
      <c r="G278" s="435">
        <v>0.01</v>
      </c>
      <c r="H278" s="435">
        <v>2.5000000000000001E-3</v>
      </c>
      <c r="I278" s="435"/>
      <c r="J278" s="435">
        <v>3.0000000000000001E-3</v>
      </c>
      <c r="K278" s="435"/>
      <c r="L278" s="435"/>
      <c r="M278" s="435">
        <v>2.5000000000000001E-3</v>
      </c>
      <c r="N278" s="435"/>
      <c r="O278" s="435"/>
      <c r="P278" s="435"/>
      <c r="Q278" s="435"/>
      <c r="R278" s="435">
        <v>2.5000000000000001E-3</v>
      </c>
      <c r="S278" s="435"/>
      <c r="T278" s="435"/>
      <c r="U278" s="435"/>
      <c r="V278" s="435"/>
      <c r="W278" s="433">
        <v>6.7500000000000004E-2</v>
      </c>
      <c r="X278" s="18"/>
    </row>
    <row r="279" spans="1:24" x14ac:dyDescent="0.15">
      <c r="A279" s="525"/>
      <c r="B279" s="526"/>
      <c r="C279" s="526"/>
      <c r="D279" s="526"/>
      <c r="E279" s="527"/>
      <c r="F279" s="527" t="s">
        <v>609</v>
      </c>
      <c r="G279" s="527"/>
      <c r="H279" s="527"/>
      <c r="I279" s="527"/>
      <c r="J279" s="527"/>
      <c r="K279" s="527"/>
      <c r="L279" s="527"/>
      <c r="M279" s="527"/>
      <c r="N279" s="527"/>
      <c r="O279" s="527"/>
      <c r="P279" s="527"/>
      <c r="Q279" s="527"/>
      <c r="R279" s="527"/>
      <c r="S279" s="527"/>
      <c r="T279" s="527"/>
      <c r="U279" s="527"/>
      <c r="V279" s="527"/>
      <c r="W279" s="527"/>
      <c r="X279" s="18"/>
    </row>
    <row r="280" spans="1:24" x14ac:dyDescent="0.15">
      <c r="A280" s="436" t="s">
        <v>1106</v>
      </c>
      <c r="B280" s="434"/>
      <c r="C280" s="432" t="s">
        <v>1107</v>
      </c>
      <c r="D280" s="432" t="s">
        <v>1107</v>
      </c>
      <c r="E280" s="431">
        <v>4.7E-2</v>
      </c>
      <c r="F280" s="430" t="s">
        <v>641</v>
      </c>
      <c r="G280" s="435">
        <v>0.01</v>
      </c>
      <c r="H280" s="435"/>
      <c r="I280" s="435"/>
      <c r="J280" s="435"/>
      <c r="K280" s="435"/>
      <c r="L280" s="435"/>
      <c r="M280" s="435"/>
      <c r="N280" s="435"/>
      <c r="O280" s="435"/>
      <c r="P280" s="435"/>
      <c r="Q280" s="435"/>
      <c r="R280" s="435">
        <v>2.5000000000000001E-3</v>
      </c>
      <c r="S280" s="435"/>
      <c r="T280" s="435"/>
      <c r="U280" s="435"/>
      <c r="V280" s="435"/>
      <c r="W280" s="433">
        <v>5.9500000000000004E-2</v>
      </c>
      <c r="X280" s="18"/>
    </row>
    <row r="281" spans="1:24" x14ac:dyDescent="0.15">
      <c r="A281" s="436" t="s">
        <v>1108</v>
      </c>
      <c r="B281" s="434"/>
      <c r="C281" s="432" t="s">
        <v>1109</v>
      </c>
      <c r="D281" s="432" t="s">
        <v>1107</v>
      </c>
      <c r="E281" s="431">
        <v>4.7E-2</v>
      </c>
      <c r="F281" s="430" t="s">
        <v>641</v>
      </c>
      <c r="G281" s="435">
        <v>0.01</v>
      </c>
      <c r="H281" s="435"/>
      <c r="I281" s="435"/>
      <c r="J281" s="435"/>
      <c r="K281" s="435"/>
      <c r="L281" s="435"/>
      <c r="M281" s="435"/>
      <c r="N281" s="435"/>
      <c r="O281" s="435"/>
      <c r="P281" s="435"/>
      <c r="Q281" s="435"/>
      <c r="R281" s="435">
        <v>2.5000000000000001E-3</v>
      </c>
      <c r="S281" s="435"/>
      <c r="T281" s="435"/>
      <c r="U281" s="435"/>
      <c r="V281" s="435"/>
      <c r="W281" s="433">
        <v>5.9500000000000004E-2</v>
      </c>
      <c r="X281" s="18"/>
    </row>
    <row r="282" spans="1:24" x14ac:dyDescent="0.15">
      <c r="A282" s="530" t="s">
        <v>1110</v>
      </c>
      <c r="B282" s="434"/>
      <c r="C282" s="432" t="s">
        <v>1111</v>
      </c>
      <c r="D282" s="432" t="s">
        <v>1107</v>
      </c>
      <c r="E282" s="431">
        <v>4.7E-2</v>
      </c>
      <c r="F282" s="430" t="s">
        <v>641</v>
      </c>
      <c r="G282" s="435">
        <v>0.01</v>
      </c>
      <c r="H282" s="435"/>
      <c r="I282" s="435"/>
      <c r="J282" s="435"/>
      <c r="K282" s="435"/>
      <c r="L282" s="435"/>
      <c r="M282" s="435"/>
      <c r="N282" s="435"/>
      <c r="O282" s="435"/>
      <c r="P282" s="435"/>
      <c r="Q282" s="435"/>
      <c r="R282" s="435">
        <v>2.5000000000000001E-3</v>
      </c>
      <c r="S282" s="435"/>
      <c r="T282" s="435"/>
      <c r="U282" s="435"/>
      <c r="V282" s="435"/>
      <c r="W282" s="433">
        <v>5.9500000000000004E-2</v>
      </c>
      <c r="X282" s="18"/>
    </row>
    <row r="283" spans="1:24" x14ac:dyDescent="0.15">
      <c r="A283" s="436" t="s">
        <v>1112</v>
      </c>
      <c r="B283" s="434"/>
      <c r="C283" s="432" t="s">
        <v>1113</v>
      </c>
      <c r="D283" s="432" t="s">
        <v>1113</v>
      </c>
      <c r="E283" s="431">
        <v>4.7E-2</v>
      </c>
      <c r="F283" s="430" t="s">
        <v>641</v>
      </c>
      <c r="G283" s="435">
        <v>0.01</v>
      </c>
      <c r="H283" s="435"/>
      <c r="I283" s="435"/>
      <c r="J283" s="435"/>
      <c r="K283" s="435"/>
      <c r="L283" s="435"/>
      <c r="M283" s="435"/>
      <c r="N283" s="435"/>
      <c r="O283" s="435"/>
      <c r="P283" s="435"/>
      <c r="Q283" s="435">
        <v>3.0000000000000001E-3</v>
      </c>
      <c r="R283" s="435">
        <v>2.5000000000000001E-3</v>
      </c>
      <c r="S283" s="435"/>
      <c r="T283" s="435"/>
      <c r="U283" s="435"/>
      <c r="V283" s="435"/>
      <c r="W283" s="433">
        <v>6.25E-2</v>
      </c>
      <c r="X283" s="18"/>
    </row>
    <row r="284" spans="1:24" x14ac:dyDescent="0.15">
      <c r="A284" s="436" t="s">
        <v>1114</v>
      </c>
      <c r="B284" s="434"/>
      <c r="C284" s="529" t="s">
        <v>1115</v>
      </c>
      <c r="D284" s="432" t="s">
        <v>1115</v>
      </c>
      <c r="E284" s="431">
        <v>4.7E-2</v>
      </c>
      <c r="F284" s="430" t="s">
        <v>641</v>
      </c>
      <c r="G284" s="435">
        <v>0.01</v>
      </c>
      <c r="H284" s="435"/>
      <c r="I284" s="435"/>
      <c r="J284" s="435"/>
      <c r="K284" s="435"/>
      <c r="L284" s="435"/>
      <c r="M284" s="435"/>
      <c r="N284" s="435"/>
      <c r="O284" s="435"/>
      <c r="P284" s="435"/>
      <c r="Q284" s="435"/>
      <c r="R284" s="435">
        <v>2.5000000000000001E-3</v>
      </c>
      <c r="S284" s="435"/>
      <c r="T284" s="435"/>
      <c r="U284" s="435">
        <v>1.0999999999999999E-2</v>
      </c>
      <c r="V284" s="435"/>
      <c r="W284" s="433">
        <v>7.0500000000000007E-2</v>
      </c>
      <c r="X284" s="18"/>
    </row>
    <row r="285" spans="1:24" x14ac:dyDescent="0.15">
      <c r="A285" s="436" t="s">
        <v>1116</v>
      </c>
      <c r="B285" s="434"/>
      <c r="C285" s="432" t="s">
        <v>1117</v>
      </c>
      <c r="D285" s="432" t="s">
        <v>1117</v>
      </c>
      <c r="E285" s="431">
        <v>4.7E-2</v>
      </c>
      <c r="F285" s="430" t="s">
        <v>641</v>
      </c>
      <c r="G285" s="435">
        <v>0.01</v>
      </c>
      <c r="H285" s="435"/>
      <c r="I285" s="435"/>
      <c r="J285" s="435"/>
      <c r="K285" s="435"/>
      <c r="L285" s="435"/>
      <c r="M285" s="435"/>
      <c r="N285" s="435"/>
      <c r="O285" s="435"/>
      <c r="P285" s="435"/>
      <c r="Q285" s="435">
        <v>3.0000000000000001E-3</v>
      </c>
      <c r="R285" s="435">
        <v>2.5000000000000001E-3</v>
      </c>
      <c r="S285" s="435"/>
      <c r="T285" s="435"/>
      <c r="U285" s="435">
        <v>1.0999999999999999E-2</v>
      </c>
      <c r="V285" s="435"/>
      <c r="W285" s="433">
        <v>7.3499999999999996E-2</v>
      </c>
      <c r="X285" s="18"/>
    </row>
    <row r="286" spans="1:24" x14ac:dyDescent="0.15">
      <c r="A286" s="436" t="s">
        <v>1118</v>
      </c>
      <c r="B286" s="434"/>
      <c r="C286" s="432" t="s">
        <v>1119</v>
      </c>
      <c r="D286" s="432" t="s">
        <v>1119</v>
      </c>
      <c r="E286" s="431">
        <v>4.7E-2</v>
      </c>
      <c r="F286" s="430" t="s">
        <v>641</v>
      </c>
      <c r="G286" s="435">
        <v>0.01</v>
      </c>
      <c r="H286" s="435">
        <v>3.0000000000000001E-3</v>
      </c>
      <c r="I286" s="435"/>
      <c r="J286" s="435"/>
      <c r="K286" s="435"/>
      <c r="L286" s="435"/>
      <c r="M286" s="435"/>
      <c r="N286" s="435"/>
      <c r="O286" s="435"/>
      <c r="P286" s="435"/>
      <c r="Q286" s="435"/>
      <c r="R286" s="435">
        <v>2.5000000000000001E-3</v>
      </c>
      <c r="S286" s="435"/>
      <c r="T286" s="435"/>
      <c r="U286" s="435">
        <v>1.0999999999999999E-2</v>
      </c>
      <c r="V286" s="435"/>
      <c r="W286" s="433">
        <v>7.3499999999999996E-2</v>
      </c>
      <c r="X286" s="18"/>
    </row>
    <row r="287" spans="1:24" x14ac:dyDescent="0.15">
      <c r="A287" s="530" t="s">
        <v>1120</v>
      </c>
      <c r="B287" s="528"/>
      <c r="C287" s="432" t="s">
        <v>1121</v>
      </c>
      <c r="D287" s="432" t="s">
        <v>1119</v>
      </c>
      <c r="E287" s="431">
        <v>4.7E-2</v>
      </c>
      <c r="F287" s="430" t="s">
        <v>641</v>
      </c>
      <c r="G287" s="435">
        <v>0.01</v>
      </c>
      <c r="H287" s="435"/>
      <c r="I287" s="435"/>
      <c r="J287" s="435"/>
      <c r="K287" s="435"/>
      <c r="L287" s="435"/>
      <c r="M287" s="435"/>
      <c r="N287" s="435"/>
      <c r="O287" s="435"/>
      <c r="P287" s="435"/>
      <c r="Q287" s="435"/>
      <c r="R287" s="435">
        <v>2.5000000000000001E-3</v>
      </c>
      <c r="S287" s="435"/>
      <c r="T287" s="435"/>
      <c r="U287" s="435"/>
      <c r="V287" s="435"/>
      <c r="W287" s="433">
        <v>5.9500000000000004E-2</v>
      </c>
      <c r="X287" s="18"/>
    </row>
    <row r="288" spans="1:24" x14ac:dyDescent="0.15">
      <c r="A288" s="436" t="s">
        <v>1122</v>
      </c>
      <c r="B288" s="528"/>
      <c r="C288" s="432" t="s">
        <v>1123</v>
      </c>
      <c r="D288" s="432" t="s">
        <v>1107</v>
      </c>
      <c r="E288" s="431">
        <v>4.7E-2</v>
      </c>
      <c r="F288" s="430" t="s">
        <v>641</v>
      </c>
      <c r="G288" s="435">
        <v>0.01</v>
      </c>
      <c r="H288" s="435"/>
      <c r="I288" s="435"/>
      <c r="J288" s="435"/>
      <c r="K288" s="435"/>
      <c r="L288" s="435"/>
      <c r="M288" s="435"/>
      <c r="N288" s="435"/>
      <c r="O288" s="435"/>
      <c r="P288" s="435"/>
      <c r="Q288" s="435"/>
      <c r="R288" s="435">
        <v>2.5000000000000001E-3</v>
      </c>
      <c r="S288" s="435"/>
      <c r="T288" s="435"/>
      <c r="U288" s="435"/>
      <c r="V288" s="435"/>
      <c r="W288" s="433">
        <v>5.9500000000000004E-2</v>
      </c>
      <c r="X288" s="18"/>
    </row>
    <row r="289" spans="1:24" x14ac:dyDescent="0.15">
      <c r="A289" s="525"/>
      <c r="B289" s="526"/>
      <c r="C289" s="526"/>
      <c r="D289" s="526"/>
      <c r="E289" s="527"/>
      <c r="F289" s="527" t="s">
        <v>609</v>
      </c>
      <c r="G289" s="527"/>
      <c r="H289" s="527"/>
      <c r="I289" s="527"/>
      <c r="J289" s="527"/>
      <c r="K289" s="527"/>
      <c r="L289" s="527"/>
      <c r="M289" s="527"/>
      <c r="N289" s="527"/>
      <c r="O289" s="527"/>
      <c r="P289" s="527"/>
      <c r="Q289" s="527"/>
      <c r="R289" s="527"/>
      <c r="S289" s="527"/>
      <c r="T289" s="527"/>
      <c r="U289" s="527"/>
      <c r="V289" s="527"/>
      <c r="W289" s="527"/>
      <c r="X289" s="18"/>
    </row>
    <row r="290" spans="1:24" x14ac:dyDescent="0.15">
      <c r="A290" s="436" t="s">
        <v>1124</v>
      </c>
      <c r="B290" s="434"/>
      <c r="C290" s="432" t="s">
        <v>1125</v>
      </c>
      <c r="D290" s="432" t="s">
        <v>1125</v>
      </c>
      <c r="E290" s="431">
        <v>4.7E-2</v>
      </c>
      <c r="F290" s="430" t="s">
        <v>641</v>
      </c>
      <c r="G290" s="435">
        <v>0.01</v>
      </c>
      <c r="H290" s="435"/>
      <c r="I290" s="435"/>
      <c r="J290" s="435"/>
      <c r="K290" s="435"/>
      <c r="L290" s="435"/>
      <c r="M290" s="435"/>
      <c r="N290" s="435"/>
      <c r="O290" s="435"/>
      <c r="P290" s="435"/>
      <c r="Q290" s="435"/>
      <c r="R290" s="435">
        <v>2.5000000000000001E-3</v>
      </c>
      <c r="S290" s="435"/>
      <c r="T290" s="435"/>
      <c r="U290" s="435"/>
      <c r="V290" s="435"/>
      <c r="W290" s="433">
        <v>5.9500000000000004E-2</v>
      </c>
      <c r="X290" s="18"/>
    </row>
    <row r="291" spans="1:24" x14ac:dyDescent="0.15">
      <c r="A291" s="436" t="s">
        <v>1126</v>
      </c>
      <c r="B291" s="434"/>
      <c r="C291" s="529" t="s">
        <v>1127</v>
      </c>
      <c r="D291" s="432" t="s">
        <v>1125</v>
      </c>
      <c r="E291" s="431">
        <v>4.7E-2</v>
      </c>
      <c r="F291" s="430" t="s">
        <v>641</v>
      </c>
      <c r="G291" s="435">
        <v>0.01</v>
      </c>
      <c r="H291" s="435"/>
      <c r="I291" s="435"/>
      <c r="J291" s="435"/>
      <c r="K291" s="435"/>
      <c r="L291" s="435"/>
      <c r="M291" s="435"/>
      <c r="N291" s="435"/>
      <c r="O291" s="435"/>
      <c r="P291" s="435"/>
      <c r="Q291" s="435"/>
      <c r="R291" s="435">
        <v>2.5000000000000001E-3</v>
      </c>
      <c r="S291" s="435"/>
      <c r="T291" s="435"/>
      <c r="U291" s="435"/>
      <c r="V291" s="435"/>
      <c r="W291" s="433">
        <v>5.9500000000000004E-2</v>
      </c>
      <c r="X291" s="18"/>
    </row>
    <row r="292" spans="1:24" x14ac:dyDescent="0.15">
      <c r="A292" s="436" t="s">
        <v>1128</v>
      </c>
      <c r="B292" s="434"/>
      <c r="C292" s="432" t="s">
        <v>1129</v>
      </c>
      <c r="D292" s="432" t="s">
        <v>1125</v>
      </c>
      <c r="E292" s="431">
        <v>4.7E-2</v>
      </c>
      <c r="F292" s="430" t="s">
        <v>641</v>
      </c>
      <c r="G292" s="435">
        <v>0.01</v>
      </c>
      <c r="H292" s="435"/>
      <c r="I292" s="435"/>
      <c r="J292" s="435"/>
      <c r="K292" s="435"/>
      <c r="L292" s="435"/>
      <c r="M292" s="435"/>
      <c r="N292" s="435"/>
      <c r="O292" s="435"/>
      <c r="P292" s="435"/>
      <c r="Q292" s="435"/>
      <c r="R292" s="435">
        <v>2.5000000000000001E-3</v>
      </c>
      <c r="S292" s="435"/>
      <c r="T292" s="435"/>
      <c r="U292" s="435"/>
      <c r="V292" s="435"/>
      <c r="W292" s="433">
        <v>5.9500000000000004E-2</v>
      </c>
      <c r="X292" s="18"/>
    </row>
    <row r="293" spans="1:24" x14ac:dyDescent="0.15">
      <c r="A293" s="436" t="s">
        <v>1130</v>
      </c>
      <c r="B293" s="434"/>
      <c r="C293" s="432" t="s">
        <v>1131</v>
      </c>
      <c r="D293" s="432" t="s">
        <v>1131</v>
      </c>
      <c r="E293" s="431">
        <v>4.7E-2</v>
      </c>
      <c r="F293" s="430" t="s">
        <v>641</v>
      </c>
      <c r="G293" s="435">
        <v>0.01</v>
      </c>
      <c r="H293" s="435"/>
      <c r="I293" s="435"/>
      <c r="J293" s="435"/>
      <c r="K293" s="435"/>
      <c r="L293" s="435"/>
      <c r="M293" s="435"/>
      <c r="N293" s="435"/>
      <c r="O293" s="435"/>
      <c r="P293" s="435"/>
      <c r="Q293" s="435">
        <v>3.0000000000000001E-3</v>
      </c>
      <c r="R293" s="435">
        <v>2.5000000000000001E-3</v>
      </c>
      <c r="S293" s="435"/>
      <c r="T293" s="435"/>
      <c r="U293" s="435"/>
      <c r="V293" s="435"/>
      <c r="W293" s="433">
        <v>6.25E-2</v>
      </c>
      <c r="X293" s="18"/>
    </row>
    <row r="294" spans="1:24" x14ac:dyDescent="0.15">
      <c r="A294" s="436" t="s">
        <v>1132</v>
      </c>
      <c r="B294" s="434"/>
      <c r="C294" s="432" t="s">
        <v>1133</v>
      </c>
      <c r="D294" s="432" t="s">
        <v>1133</v>
      </c>
      <c r="E294" s="431">
        <v>4.7E-2</v>
      </c>
      <c r="F294" s="430" t="s">
        <v>641</v>
      </c>
      <c r="G294" s="435">
        <v>0.01</v>
      </c>
      <c r="H294" s="435"/>
      <c r="I294" s="435"/>
      <c r="J294" s="435"/>
      <c r="K294" s="435"/>
      <c r="L294" s="435"/>
      <c r="M294" s="435"/>
      <c r="N294" s="435"/>
      <c r="O294" s="435"/>
      <c r="P294" s="435"/>
      <c r="Q294" s="435">
        <v>3.0000000000000001E-3</v>
      </c>
      <c r="R294" s="435">
        <v>2.5000000000000001E-3</v>
      </c>
      <c r="S294" s="435"/>
      <c r="T294" s="435"/>
      <c r="U294" s="435"/>
      <c r="V294" s="435"/>
      <c r="W294" s="433">
        <v>6.25E-2</v>
      </c>
      <c r="X294" s="18"/>
    </row>
    <row r="295" spans="1:24" x14ac:dyDescent="0.15">
      <c r="A295" s="436" t="s">
        <v>1134</v>
      </c>
      <c r="B295" s="434"/>
      <c r="C295" s="432" t="s">
        <v>1135</v>
      </c>
      <c r="D295" s="432" t="s">
        <v>1135</v>
      </c>
      <c r="E295" s="431">
        <v>4.7E-2</v>
      </c>
      <c r="F295" s="430" t="s">
        <v>641</v>
      </c>
      <c r="G295" s="435">
        <v>0.01</v>
      </c>
      <c r="H295" s="435"/>
      <c r="I295" s="435"/>
      <c r="J295" s="435"/>
      <c r="K295" s="435"/>
      <c r="L295" s="435"/>
      <c r="M295" s="435"/>
      <c r="N295" s="435"/>
      <c r="O295" s="435"/>
      <c r="P295" s="435"/>
      <c r="Q295" s="435">
        <v>3.0000000000000001E-3</v>
      </c>
      <c r="R295" s="435">
        <v>2.5000000000000001E-3</v>
      </c>
      <c r="S295" s="435"/>
      <c r="T295" s="435"/>
      <c r="U295" s="435"/>
      <c r="V295" s="435"/>
      <c r="W295" s="433">
        <v>6.25E-2</v>
      </c>
      <c r="X295" s="18"/>
    </row>
    <row r="296" spans="1:24" x14ac:dyDescent="0.15">
      <c r="A296" s="436" t="s">
        <v>1136</v>
      </c>
      <c r="B296" s="434"/>
      <c r="C296" s="432" t="s">
        <v>1137</v>
      </c>
      <c r="D296" s="432" t="s">
        <v>1125</v>
      </c>
      <c r="E296" s="431">
        <v>4.7E-2</v>
      </c>
      <c r="F296" s="430" t="s">
        <v>641</v>
      </c>
      <c r="G296" s="435">
        <v>0.01</v>
      </c>
      <c r="H296" s="435"/>
      <c r="I296" s="435"/>
      <c r="J296" s="435"/>
      <c r="K296" s="435"/>
      <c r="L296" s="435"/>
      <c r="M296" s="435"/>
      <c r="N296" s="435"/>
      <c r="O296" s="435"/>
      <c r="P296" s="435"/>
      <c r="Q296" s="435"/>
      <c r="R296" s="435">
        <v>2.5000000000000001E-3</v>
      </c>
      <c r="S296" s="435"/>
      <c r="T296" s="435"/>
      <c r="U296" s="435"/>
      <c r="V296" s="435"/>
      <c r="W296" s="433">
        <v>5.9500000000000004E-2</v>
      </c>
      <c r="X296" s="18"/>
    </row>
    <row r="297" spans="1:24" x14ac:dyDescent="0.15">
      <c r="A297" s="436" t="s">
        <v>1138</v>
      </c>
      <c r="B297" s="434"/>
      <c r="C297" s="529" t="s">
        <v>1139</v>
      </c>
      <c r="D297" s="529" t="s">
        <v>1125</v>
      </c>
      <c r="E297" s="431">
        <v>4.7E-2</v>
      </c>
      <c r="F297" s="430" t="s">
        <v>641</v>
      </c>
      <c r="G297" s="435">
        <v>0.01</v>
      </c>
      <c r="H297" s="435"/>
      <c r="I297" s="435"/>
      <c r="J297" s="435"/>
      <c r="K297" s="435"/>
      <c r="L297" s="435"/>
      <c r="M297" s="435"/>
      <c r="N297" s="435"/>
      <c r="O297" s="435"/>
      <c r="P297" s="435"/>
      <c r="Q297" s="435"/>
      <c r="R297" s="435">
        <v>2.5000000000000001E-3</v>
      </c>
      <c r="S297" s="435"/>
      <c r="T297" s="435"/>
      <c r="U297" s="435"/>
      <c r="V297" s="435"/>
      <c r="W297" s="433">
        <v>5.9500000000000004E-2</v>
      </c>
      <c r="X297" s="18"/>
    </row>
    <row r="298" spans="1:24" x14ac:dyDescent="0.15">
      <c r="A298" s="436" t="s">
        <v>1140</v>
      </c>
      <c r="B298" s="434"/>
      <c r="C298" s="432" t="s">
        <v>1141</v>
      </c>
      <c r="D298" s="432" t="s">
        <v>1125</v>
      </c>
      <c r="E298" s="431">
        <v>4.7E-2</v>
      </c>
      <c r="F298" s="430" t="s">
        <v>641</v>
      </c>
      <c r="G298" s="435">
        <v>0.01</v>
      </c>
      <c r="H298" s="435"/>
      <c r="I298" s="435"/>
      <c r="J298" s="435"/>
      <c r="K298" s="435"/>
      <c r="L298" s="435"/>
      <c r="M298" s="435"/>
      <c r="N298" s="435"/>
      <c r="O298" s="435"/>
      <c r="P298" s="435"/>
      <c r="Q298" s="435"/>
      <c r="R298" s="435">
        <v>2.5000000000000001E-3</v>
      </c>
      <c r="S298" s="435"/>
      <c r="T298" s="435"/>
      <c r="U298" s="435"/>
      <c r="V298" s="435"/>
      <c r="W298" s="433">
        <v>5.9500000000000004E-2</v>
      </c>
      <c r="X298" s="18"/>
    </row>
    <row r="299" spans="1:24" x14ac:dyDescent="0.15">
      <c r="A299" s="436" t="s">
        <v>1142</v>
      </c>
      <c r="B299" s="434"/>
      <c r="C299" s="432" t="s">
        <v>1143</v>
      </c>
      <c r="D299" s="432" t="s">
        <v>1143</v>
      </c>
      <c r="E299" s="431">
        <v>4.7E-2</v>
      </c>
      <c r="F299" s="430" t="s">
        <v>641</v>
      </c>
      <c r="G299" s="435">
        <v>0.01</v>
      </c>
      <c r="H299" s="435"/>
      <c r="I299" s="435"/>
      <c r="J299" s="435"/>
      <c r="K299" s="435"/>
      <c r="L299" s="435"/>
      <c r="M299" s="435"/>
      <c r="N299" s="435"/>
      <c r="O299" s="435"/>
      <c r="P299" s="435"/>
      <c r="Q299" s="435">
        <v>3.0000000000000001E-3</v>
      </c>
      <c r="R299" s="435">
        <v>2.5000000000000001E-3</v>
      </c>
      <c r="S299" s="435"/>
      <c r="T299" s="435"/>
      <c r="U299" s="435"/>
      <c r="V299" s="435"/>
      <c r="W299" s="433">
        <v>6.25E-2</v>
      </c>
      <c r="X299" s="18"/>
    </row>
    <row r="300" spans="1:24" x14ac:dyDescent="0.15">
      <c r="A300" s="436" t="s">
        <v>1144</v>
      </c>
      <c r="B300" s="434"/>
      <c r="C300" s="432" t="s">
        <v>1145</v>
      </c>
      <c r="D300" s="432" t="s">
        <v>1145</v>
      </c>
      <c r="E300" s="431">
        <v>4.7E-2</v>
      </c>
      <c r="F300" s="430" t="s">
        <v>641</v>
      </c>
      <c r="G300" s="435">
        <v>0.01</v>
      </c>
      <c r="H300" s="435"/>
      <c r="I300" s="435"/>
      <c r="J300" s="435"/>
      <c r="K300" s="435"/>
      <c r="L300" s="435"/>
      <c r="M300" s="435"/>
      <c r="N300" s="435"/>
      <c r="O300" s="435"/>
      <c r="P300" s="435"/>
      <c r="Q300" s="435">
        <v>3.0000000000000001E-3</v>
      </c>
      <c r="R300" s="435">
        <v>2.5000000000000001E-3</v>
      </c>
      <c r="S300" s="435"/>
      <c r="T300" s="435"/>
      <c r="U300" s="435"/>
      <c r="V300" s="435"/>
      <c r="W300" s="433">
        <v>6.25E-2</v>
      </c>
      <c r="X300" s="18"/>
    </row>
    <row r="301" spans="1:24" x14ac:dyDescent="0.15">
      <c r="A301" s="436" t="s">
        <v>1146</v>
      </c>
      <c r="B301" s="434"/>
      <c r="C301" s="432" t="s">
        <v>1147</v>
      </c>
      <c r="D301" s="432" t="s">
        <v>1147</v>
      </c>
      <c r="E301" s="431">
        <v>4.7E-2</v>
      </c>
      <c r="F301" s="430" t="s">
        <v>641</v>
      </c>
      <c r="G301" s="435">
        <v>0.01</v>
      </c>
      <c r="H301" s="435"/>
      <c r="I301" s="435"/>
      <c r="J301" s="435"/>
      <c r="K301" s="435"/>
      <c r="L301" s="435"/>
      <c r="M301" s="435"/>
      <c r="N301" s="435"/>
      <c r="O301" s="435"/>
      <c r="P301" s="435"/>
      <c r="Q301" s="435"/>
      <c r="R301" s="435">
        <v>2.5000000000000001E-3</v>
      </c>
      <c r="S301" s="435"/>
      <c r="T301" s="435"/>
      <c r="U301" s="435">
        <v>1.0999999999999999E-2</v>
      </c>
      <c r="V301" s="435">
        <v>5.0000000000000001E-3</v>
      </c>
      <c r="W301" s="433">
        <v>7.5500000000000012E-2</v>
      </c>
      <c r="X301" s="18"/>
    </row>
    <row r="302" spans="1:24" x14ac:dyDescent="0.15">
      <c r="A302" s="436" t="s">
        <v>1148</v>
      </c>
      <c r="B302" s="434"/>
      <c r="C302" s="432" t="s">
        <v>1149</v>
      </c>
      <c r="D302" s="432" t="s">
        <v>1125</v>
      </c>
      <c r="E302" s="431">
        <v>4.7E-2</v>
      </c>
      <c r="F302" s="430" t="s">
        <v>641</v>
      </c>
      <c r="G302" s="435">
        <v>0.01</v>
      </c>
      <c r="H302" s="435"/>
      <c r="I302" s="435"/>
      <c r="J302" s="435"/>
      <c r="K302" s="435"/>
      <c r="L302" s="435"/>
      <c r="M302" s="435"/>
      <c r="N302" s="435"/>
      <c r="O302" s="435"/>
      <c r="P302" s="435"/>
      <c r="Q302" s="435"/>
      <c r="R302" s="435">
        <v>2.5000000000000001E-3</v>
      </c>
      <c r="S302" s="435"/>
      <c r="T302" s="435"/>
      <c r="U302" s="435"/>
      <c r="V302" s="435"/>
      <c r="W302" s="433">
        <v>5.9500000000000004E-2</v>
      </c>
      <c r="X302" s="18"/>
    </row>
    <row r="303" spans="1:24" x14ac:dyDescent="0.15">
      <c r="A303" s="436" t="s">
        <v>1150</v>
      </c>
      <c r="B303" s="434"/>
      <c r="C303" s="432" t="s">
        <v>1151</v>
      </c>
      <c r="D303" s="432" t="s">
        <v>1125</v>
      </c>
      <c r="E303" s="431">
        <v>4.7E-2</v>
      </c>
      <c r="F303" s="430" t="s">
        <v>641</v>
      </c>
      <c r="G303" s="435">
        <v>0.01</v>
      </c>
      <c r="H303" s="435"/>
      <c r="I303" s="435"/>
      <c r="J303" s="435"/>
      <c r="K303" s="435"/>
      <c r="L303" s="435"/>
      <c r="M303" s="435"/>
      <c r="N303" s="435"/>
      <c r="O303" s="435"/>
      <c r="P303" s="435"/>
      <c r="Q303" s="435"/>
      <c r="R303" s="435">
        <v>2.5000000000000001E-3</v>
      </c>
      <c r="S303" s="435"/>
      <c r="T303" s="435"/>
      <c r="U303" s="435"/>
      <c r="V303" s="435"/>
      <c r="W303" s="433">
        <v>5.9500000000000004E-2</v>
      </c>
      <c r="X303" s="18"/>
    </row>
    <row r="304" spans="1:24" x14ac:dyDescent="0.15">
      <c r="A304" s="436" t="s">
        <v>1152</v>
      </c>
      <c r="B304" s="434"/>
      <c r="C304" s="432" t="s">
        <v>1153</v>
      </c>
      <c r="D304" s="432" t="s">
        <v>1153</v>
      </c>
      <c r="E304" s="431">
        <v>4.7E-2</v>
      </c>
      <c r="F304" s="430" t="s">
        <v>641</v>
      </c>
      <c r="G304" s="435">
        <v>0.01</v>
      </c>
      <c r="H304" s="435"/>
      <c r="I304" s="435"/>
      <c r="J304" s="435"/>
      <c r="K304" s="435"/>
      <c r="L304" s="435"/>
      <c r="M304" s="435"/>
      <c r="N304" s="435"/>
      <c r="O304" s="435"/>
      <c r="P304" s="435"/>
      <c r="Q304" s="435">
        <v>3.0000000000000001E-3</v>
      </c>
      <c r="R304" s="435">
        <v>2.5000000000000001E-3</v>
      </c>
      <c r="S304" s="435"/>
      <c r="T304" s="435"/>
      <c r="U304" s="435"/>
      <c r="V304" s="435"/>
      <c r="W304" s="433">
        <v>6.25E-2</v>
      </c>
      <c r="X304" s="18"/>
    </row>
    <row r="305" spans="1:24" x14ac:dyDescent="0.15">
      <c r="A305" s="436" t="s">
        <v>1154</v>
      </c>
      <c r="B305" s="434"/>
      <c r="C305" s="432" t="s">
        <v>1155</v>
      </c>
      <c r="D305" s="432" t="s">
        <v>1125</v>
      </c>
      <c r="E305" s="431">
        <v>4.7E-2</v>
      </c>
      <c r="F305" s="430" t="s">
        <v>641</v>
      </c>
      <c r="G305" s="435">
        <v>0.01</v>
      </c>
      <c r="H305" s="435"/>
      <c r="I305" s="435"/>
      <c r="J305" s="435"/>
      <c r="K305" s="435"/>
      <c r="L305" s="435"/>
      <c r="M305" s="435"/>
      <c r="N305" s="435"/>
      <c r="O305" s="435"/>
      <c r="P305" s="435"/>
      <c r="Q305" s="435"/>
      <c r="R305" s="435">
        <v>2.5000000000000001E-3</v>
      </c>
      <c r="S305" s="435"/>
      <c r="T305" s="435"/>
      <c r="U305" s="435"/>
      <c r="V305" s="435"/>
      <c r="W305" s="433">
        <v>5.9500000000000004E-2</v>
      </c>
      <c r="X305" s="18"/>
    </row>
    <row r="306" spans="1:24" x14ac:dyDescent="0.15">
      <c r="A306" s="525"/>
      <c r="B306" s="526"/>
      <c r="C306" s="526"/>
      <c r="D306" s="526"/>
      <c r="E306" s="527"/>
      <c r="F306" s="527" t="s">
        <v>609</v>
      </c>
      <c r="G306" s="527"/>
      <c r="H306" s="527"/>
      <c r="I306" s="527"/>
      <c r="J306" s="527"/>
      <c r="K306" s="527"/>
      <c r="L306" s="527"/>
      <c r="M306" s="527"/>
      <c r="N306" s="527"/>
      <c r="O306" s="527"/>
      <c r="P306" s="527"/>
      <c r="Q306" s="527"/>
      <c r="R306" s="527"/>
      <c r="S306" s="527"/>
      <c r="T306" s="527"/>
      <c r="U306" s="527"/>
      <c r="V306" s="527"/>
      <c r="W306" s="527"/>
      <c r="X306" s="18"/>
    </row>
    <row r="307" spans="1:24" x14ac:dyDescent="0.15">
      <c r="A307" s="436" t="s">
        <v>1156</v>
      </c>
      <c r="B307" s="434"/>
      <c r="C307" s="432" t="s">
        <v>1157</v>
      </c>
      <c r="D307" s="432" t="s">
        <v>1157</v>
      </c>
      <c r="E307" s="431">
        <v>4.7E-2</v>
      </c>
      <c r="F307" s="430" t="s">
        <v>641</v>
      </c>
      <c r="G307" s="435">
        <v>0.01</v>
      </c>
      <c r="H307" s="435"/>
      <c r="I307" s="435"/>
      <c r="J307" s="435"/>
      <c r="K307" s="435"/>
      <c r="L307" s="435"/>
      <c r="M307" s="435"/>
      <c r="N307" s="435"/>
      <c r="O307" s="435"/>
      <c r="P307" s="435"/>
      <c r="Q307" s="435"/>
      <c r="R307" s="435">
        <v>2.5000000000000001E-3</v>
      </c>
      <c r="S307" s="435"/>
      <c r="T307" s="435"/>
      <c r="U307" s="435"/>
      <c r="V307" s="435"/>
      <c r="W307" s="433">
        <v>5.9500000000000004E-2</v>
      </c>
      <c r="X307" s="18"/>
    </row>
    <row r="308" spans="1:24" x14ac:dyDescent="0.15">
      <c r="A308" s="436" t="s">
        <v>1158</v>
      </c>
      <c r="B308" s="434"/>
      <c r="C308" s="432" t="s">
        <v>1159</v>
      </c>
      <c r="D308" s="432" t="s">
        <v>1157</v>
      </c>
      <c r="E308" s="431">
        <v>4.7E-2</v>
      </c>
      <c r="F308" s="430" t="s">
        <v>641</v>
      </c>
      <c r="G308" s="435">
        <v>0.01</v>
      </c>
      <c r="H308" s="435"/>
      <c r="I308" s="435"/>
      <c r="J308" s="435"/>
      <c r="K308" s="435"/>
      <c r="L308" s="435"/>
      <c r="M308" s="435"/>
      <c r="N308" s="435"/>
      <c r="O308" s="435"/>
      <c r="P308" s="435"/>
      <c r="Q308" s="435"/>
      <c r="R308" s="435">
        <v>2.5000000000000001E-3</v>
      </c>
      <c r="S308" s="435"/>
      <c r="T308" s="435"/>
      <c r="U308" s="435"/>
      <c r="V308" s="435"/>
      <c r="W308" s="433">
        <v>5.9500000000000004E-2</v>
      </c>
      <c r="X308" s="18"/>
    </row>
    <row r="309" spans="1:24" x14ac:dyDescent="0.15">
      <c r="A309" s="436" t="s">
        <v>1160</v>
      </c>
      <c r="B309" s="434"/>
      <c r="C309" s="529" t="s">
        <v>1161</v>
      </c>
      <c r="D309" s="529" t="s">
        <v>1157</v>
      </c>
      <c r="E309" s="431">
        <v>4.7E-2</v>
      </c>
      <c r="F309" s="430" t="s">
        <v>641</v>
      </c>
      <c r="G309" s="435">
        <v>0.01</v>
      </c>
      <c r="H309" s="435"/>
      <c r="I309" s="435"/>
      <c r="J309" s="435"/>
      <c r="K309" s="435"/>
      <c r="L309" s="435"/>
      <c r="M309" s="435"/>
      <c r="N309" s="435"/>
      <c r="O309" s="435"/>
      <c r="P309" s="435"/>
      <c r="Q309" s="435"/>
      <c r="R309" s="435">
        <v>2.5000000000000001E-3</v>
      </c>
      <c r="S309" s="435"/>
      <c r="T309" s="435"/>
      <c r="U309" s="435"/>
      <c r="V309" s="435"/>
      <c r="W309" s="433">
        <v>5.9500000000000004E-2</v>
      </c>
      <c r="X309" s="18"/>
    </row>
    <row r="310" spans="1:24" x14ac:dyDescent="0.15">
      <c r="A310" s="436" t="s">
        <v>1162</v>
      </c>
      <c r="B310" s="434"/>
      <c r="C310" s="432" t="s">
        <v>1163</v>
      </c>
      <c r="D310" s="432" t="s">
        <v>1157</v>
      </c>
      <c r="E310" s="431">
        <v>4.7E-2</v>
      </c>
      <c r="F310" s="430" t="s">
        <v>641</v>
      </c>
      <c r="G310" s="435">
        <v>0.01</v>
      </c>
      <c r="H310" s="435"/>
      <c r="I310" s="435"/>
      <c r="J310" s="435"/>
      <c r="K310" s="435"/>
      <c r="L310" s="435"/>
      <c r="M310" s="435"/>
      <c r="N310" s="435"/>
      <c r="O310" s="435"/>
      <c r="P310" s="435"/>
      <c r="Q310" s="435"/>
      <c r="R310" s="435">
        <v>2.5000000000000001E-3</v>
      </c>
      <c r="S310" s="435"/>
      <c r="T310" s="435"/>
      <c r="U310" s="435"/>
      <c r="V310" s="435"/>
      <c r="W310" s="433">
        <v>5.9500000000000004E-2</v>
      </c>
      <c r="X310" s="18"/>
    </row>
    <row r="311" spans="1:24" x14ac:dyDescent="0.15">
      <c r="A311" s="436" t="s">
        <v>1164</v>
      </c>
      <c r="B311" s="434"/>
      <c r="C311" s="432" t="s">
        <v>1165</v>
      </c>
      <c r="D311" s="432" t="s">
        <v>1157</v>
      </c>
      <c r="E311" s="431">
        <v>4.7E-2</v>
      </c>
      <c r="F311" s="430" t="s">
        <v>641</v>
      </c>
      <c r="G311" s="435">
        <v>0.01</v>
      </c>
      <c r="H311" s="435"/>
      <c r="I311" s="435"/>
      <c r="J311" s="435"/>
      <c r="K311" s="435"/>
      <c r="L311" s="435"/>
      <c r="M311" s="435"/>
      <c r="N311" s="435"/>
      <c r="O311" s="435"/>
      <c r="P311" s="435"/>
      <c r="Q311" s="435"/>
      <c r="R311" s="435">
        <v>2.5000000000000001E-3</v>
      </c>
      <c r="S311" s="435"/>
      <c r="T311" s="435"/>
      <c r="U311" s="435"/>
      <c r="V311" s="435"/>
      <c r="W311" s="433">
        <v>5.9500000000000004E-2</v>
      </c>
      <c r="X311" s="18"/>
    </row>
    <row r="312" spans="1:24" x14ac:dyDescent="0.15">
      <c r="A312" s="436" t="s">
        <v>1166</v>
      </c>
      <c r="B312" s="434"/>
      <c r="C312" s="432" t="s">
        <v>1167</v>
      </c>
      <c r="D312" s="432" t="s">
        <v>1157</v>
      </c>
      <c r="E312" s="431">
        <v>4.7E-2</v>
      </c>
      <c r="F312" s="430" t="s">
        <v>641</v>
      </c>
      <c r="G312" s="435">
        <v>0.01</v>
      </c>
      <c r="H312" s="435"/>
      <c r="I312" s="435"/>
      <c r="J312" s="435"/>
      <c r="K312" s="435"/>
      <c r="L312" s="435"/>
      <c r="M312" s="435"/>
      <c r="N312" s="435"/>
      <c r="O312" s="435"/>
      <c r="P312" s="435"/>
      <c r="Q312" s="435"/>
      <c r="R312" s="435">
        <v>2.5000000000000001E-3</v>
      </c>
      <c r="S312" s="435"/>
      <c r="T312" s="435"/>
      <c r="U312" s="435"/>
      <c r="V312" s="435"/>
      <c r="W312" s="433">
        <v>5.9500000000000004E-2</v>
      </c>
      <c r="X312" s="18"/>
    </row>
    <row r="313" spans="1:24" x14ac:dyDescent="0.15">
      <c r="A313" s="525"/>
      <c r="B313" s="526"/>
      <c r="C313" s="526"/>
      <c r="D313" s="526"/>
      <c r="E313" s="527"/>
      <c r="F313" s="527" t="s">
        <v>609</v>
      </c>
      <c r="G313" s="527"/>
      <c r="H313" s="527"/>
      <c r="I313" s="527"/>
      <c r="J313" s="527"/>
      <c r="K313" s="527"/>
      <c r="L313" s="527"/>
      <c r="M313" s="527"/>
      <c r="N313" s="527"/>
      <c r="O313" s="527"/>
      <c r="P313" s="527"/>
      <c r="Q313" s="527"/>
      <c r="R313" s="527"/>
      <c r="S313" s="527"/>
      <c r="T313" s="527"/>
      <c r="U313" s="527"/>
      <c r="V313" s="527"/>
      <c r="W313" s="527"/>
      <c r="X313" s="18"/>
    </row>
    <row r="314" spans="1:24" x14ac:dyDescent="0.15">
      <c r="A314" s="436" t="s">
        <v>1168</v>
      </c>
      <c r="B314" s="434"/>
      <c r="C314" s="432" t="s">
        <v>1169</v>
      </c>
      <c r="D314" s="432" t="s">
        <v>1169</v>
      </c>
      <c r="E314" s="431">
        <v>4.7E-2</v>
      </c>
      <c r="F314" s="430" t="s">
        <v>641</v>
      </c>
      <c r="G314" s="435">
        <v>0.01</v>
      </c>
      <c r="H314" s="435">
        <v>2.5000000000000001E-3</v>
      </c>
      <c r="I314" s="435">
        <v>2.5000000000000001E-3</v>
      </c>
      <c r="J314" s="435"/>
      <c r="K314" s="435">
        <v>2.5000000000000001E-3</v>
      </c>
      <c r="L314" s="435">
        <v>5.0000000000000001E-4</v>
      </c>
      <c r="M314" s="435"/>
      <c r="N314" s="435"/>
      <c r="O314" s="435">
        <v>1E-3</v>
      </c>
      <c r="P314" s="435"/>
      <c r="Q314" s="435"/>
      <c r="R314" s="435">
        <v>2.5000000000000001E-3</v>
      </c>
      <c r="S314" s="435"/>
      <c r="T314" s="435"/>
      <c r="U314" s="435"/>
      <c r="V314" s="435"/>
      <c r="W314" s="433">
        <v>6.8500000000000005E-2</v>
      </c>
      <c r="X314" s="18"/>
    </row>
    <row r="315" spans="1:24" x14ac:dyDescent="0.15">
      <c r="A315" s="436" t="s">
        <v>1170</v>
      </c>
      <c r="B315" s="434"/>
      <c r="C315" s="432" t="s">
        <v>1171</v>
      </c>
      <c r="D315" s="432" t="s">
        <v>1169</v>
      </c>
      <c r="E315" s="431">
        <v>4.7E-2</v>
      </c>
      <c r="F315" s="430" t="s">
        <v>641</v>
      </c>
      <c r="G315" s="435">
        <v>0.01</v>
      </c>
      <c r="H315" s="435">
        <v>2.5000000000000001E-3</v>
      </c>
      <c r="I315" s="435">
        <v>2.5000000000000001E-3</v>
      </c>
      <c r="J315" s="435"/>
      <c r="K315" s="435">
        <v>2.5000000000000001E-3</v>
      </c>
      <c r="L315" s="435">
        <v>5.0000000000000001E-4</v>
      </c>
      <c r="M315" s="435"/>
      <c r="N315" s="435"/>
      <c r="O315" s="435">
        <v>1E-3</v>
      </c>
      <c r="P315" s="435"/>
      <c r="Q315" s="435"/>
      <c r="R315" s="435">
        <v>2.5000000000000001E-3</v>
      </c>
      <c r="S315" s="435"/>
      <c r="T315" s="435"/>
      <c r="U315" s="435"/>
      <c r="V315" s="435"/>
      <c r="W315" s="433">
        <v>6.8500000000000005E-2</v>
      </c>
      <c r="X315" s="18"/>
    </row>
    <row r="316" spans="1:24" x14ac:dyDescent="0.15">
      <c r="A316" s="436" t="s">
        <v>1172</v>
      </c>
      <c r="B316" s="434"/>
      <c r="C316" s="432" t="s">
        <v>1173</v>
      </c>
      <c r="D316" s="432" t="s">
        <v>1169</v>
      </c>
      <c r="E316" s="431">
        <v>4.7E-2</v>
      </c>
      <c r="F316" s="430" t="s">
        <v>641</v>
      </c>
      <c r="G316" s="435">
        <v>0.01</v>
      </c>
      <c r="H316" s="435">
        <v>2.5000000000000001E-3</v>
      </c>
      <c r="I316" s="435">
        <v>2.5000000000000001E-3</v>
      </c>
      <c r="J316" s="435"/>
      <c r="K316" s="435">
        <v>2.5000000000000001E-3</v>
      </c>
      <c r="L316" s="435">
        <v>5.0000000000000001E-4</v>
      </c>
      <c r="M316" s="435"/>
      <c r="N316" s="435"/>
      <c r="O316" s="435">
        <v>1E-3</v>
      </c>
      <c r="P316" s="435"/>
      <c r="Q316" s="435"/>
      <c r="R316" s="435">
        <v>2.5000000000000001E-3</v>
      </c>
      <c r="S316" s="435"/>
      <c r="T316" s="435"/>
      <c r="U316" s="435"/>
      <c r="V316" s="435"/>
      <c r="W316" s="433">
        <v>6.8500000000000005E-2</v>
      </c>
      <c r="X316" s="18"/>
    </row>
    <row r="317" spans="1:24" x14ac:dyDescent="0.15">
      <c r="A317" s="436" t="s">
        <v>1174</v>
      </c>
      <c r="B317" s="434"/>
      <c r="C317" s="529" t="s">
        <v>1175</v>
      </c>
      <c r="D317" s="529" t="s">
        <v>1169</v>
      </c>
      <c r="E317" s="431">
        <v>4.7E-2</v>
      </c>
      <c r="F317" s="430" t="s">
        <v>641</v>
      </c>
      <c r="G317" s="435">
        <v>0.01</v>
      </c>
      <c r="H317" s="435">
        <v>2.5000000000000001E-3</v>
      </c>
      <c r="I317" s="435">
        <v>2.5000000000000001E-3</v>
      </c>
      <c r="J317" s="435"/>
      <c r="K317" s="435">
        <v>2.5000000000000001E-3</v>
      </c>
      <c r="L317" s="435">
        <v>5.0000000000000001E-4</v>
      </c>
      <c r="M317" s="435"/>
      <c r="N317" s="435"/>
      <c r="O317" s="435">
        <v>1E-3</v>
      </c>
      <c r="P317" s="435"/>
      <c r="Q317" s="435"/>
      <c r="R317" s="435">
        <v>2.5000000000000001E-3</v>
      </c>
      <c r="S317" s="435"/>
      <c r="T317" s="435"/>
      <c r="U317" s="435"/>
      <c r="V317" s="435"/>
      <c r="W317" s="433">
        <v>6.8500000000000005E-2</v>
      </c>
      <c r="X317" s="18"/>
    </row>
    <row r="318" spans="1:24" x14ac:dyDescent="0.15">
      <c r="A318" s="436" t="s">
        <v>1176</v>
      </c>
      <c r="B318" s="434"/>
      <c r="C318" s="432" t="s">
        <v>1177</v>
      </c>
      <c r="D318" s="432" t="s">
        <v>1169</v>
      </c>
      <c r="E318" s="431">
        <v>4.7E-2</v>
      </c>
      <c r="F318" s="430" t="s">
        <v>641</v>
      </c>
      <c r="G318" s="435">
        <v>0.01</v>
      </c>
      <c r="H318" s="435">
        <v>2.5000000000000001E-3</v>
      </c>
      <c r="I318" s="435">
        <v>2.5000000000000001E-3</v>
      </c>
      <c r="J318" s="435"/>
      <c r="K318" s="435">
        <v>2.5000000000000001E-3</v>
      </c>
      <c r="L318" s="435">
        <v>5.0000000000000001E-4</v>
      </c>
      <c r="M318" s="435"/>
      <c r="N318" s="435"/>
      <c r="O318" s="435">
        <v>1E-3</v>
      </c>
      <c r="P318" s="435"/>
      <c r="Q318" s="435"/>
      <c r="R318" s="435">
        <v>2.5000000000000001E-3</v>
      </c>
      <c r="S318" s="435"/>
      <c r="T318" s="435"/>
      <c r="U318" s="435"/>
      <c r="V318" s="435"/>
      <c r="W318" s="433">
        <v>6.8500000000000005E-2</v>
      </c>
      <c r="X318" s="18"/>
    </row>
    <row r="319" spans="1:24" x14ac:dyDescent="0.15">
      <c r="A319" s="436" t="s">
        <v>1178</v>
      </c>
      <c r="B319" s="434"/>
      <c r="C319" s="529" t="s">
        <v>1179</v>
      </c>
      <c r="D319" s="529" t="s">
        <v>1169</v>
      </c>
      <c r="E319" s="431">
        <v>4.7E-2</v>
      </c>
      <c r="F319" s="430" t="s">
        <v>641</v>
      </c>
      <c r="G319" s="435">
        <v>0.01</v>
      </c>
      <c r="H319" s="435">
        <v>2.5000000000000001E-3</v>
      </c>
      <c r="I319" s="435">
        <v>2.5000000000000001E-3</v>
      </c>
      <c r="J319" s="435"/>
      <c r="K319" s="435">
        <v>2.5000000000000001E-3</v>
      </c>
      <c r="L319" s="435">
        <v>5.0000000000000001E-4</v>
      </c>
      <c r="M319" s="435"/>
      <c r="N319" s="435"/>
      <c r="O319" s="435">
        <v>1E-3</v>
      </c>
      <c r="P319" s="435"/>
      <c r="Q319" s="435"/>
      <c r="R319" s="435">
        <v>2.5000000000000001E-3</v>
      </c>
      <c r="S319" s="435"/>
      <c r="T319" s="435"/>
      <c r="U319" s="435"/>
      <c r="V319" s="435"/>
      <c r="W319" s="433">
        <v>6.8500000000000005E-2</v>
      </c>
      <c r="X319" s="18"/>
    </row>
    <row r="320" spans="1:24" x14ac:dyDescent="0.15">
      <c r="A320" s="436" t="s">
        <v>1180</v>
      </c>
      <c r="B320" s="434"/>
      <c r="C320" s="432" t="s">
        <v>1181</v>
      </c>
      <c r="D320" s="432" t="s">
        <v>1169</v>
      </c>
      <c r="E320" s="431">
        <v>4.7E-2</v>
      </c>
      <c r="F320" s="430" t="s">
        <v>641</v>
      </c>
      <c r="G320" s="435">
        <v>0.01</v>
      </c>
      <c r="H320" s="435">
        <v>2.5000000000000001E-3</v>
      </c>
      <c r="I320" s="435">
        <v>2.5000000000000001E-3</v>
      </c>
      <c r="J320" s="435"/>
      <c r="K320" s="435">
        <v>2.5000000000000001E-3</v>
      </c>
      <c r="L320" s="435">
        <v>5.0000000000000001E-4</v>
      </c>
      <c r="M320" s="435"/>
      <c r="N320" s="435"/>
      <c r="O320" s="435">
        <v>1E-3</v>
      </c>
      <c r="P320" s="435"/>
      <c r="Q320" s="435"/>
      <c r="R320" s="435">
        <v>2.5000000000000001E-3</v>
      </c>
      <c r="S320" s="435"/>
      <c r="T320" s="435"/>
      <c r="U320" s="435"/>
      <c r="V320" s="435"/>
      <c r="W320" s="433">
        <v>6.8500000000000005E-2</v>
      </c>
      <c r="X320" s="18"/>
    </row>
    <row r="321" spans="1:24" x14ac:dyDescent="0.15">
      <c r="A321" s="436" t="s">
        <v>1182</v>
      </c>
      <c r="B321" s="434"/>
      <c r="C321" s="432" t="s">
        <v>1183</v>
      </c>
      <c r="D321" s="432" t="s">
        <v>1169</v>
      </c>
      <c r="E321" s="431">
        <v>4.7E-2</v>
      </c>
      <c r="F321" s="430" t="s">
        <v>641</v>
      </c>
      <c r="G321" s="435">
        <v>0.01</v>
      </c>
      <c r="H321" s="435">
        <v>2.5000000000000001E-3</v>
      </c>
      <c r="I321" s="435">
        <v>2.5000000000000001E-3</v>
      </c>
      <c r="J321" s="435"/>
      <c r="K321" s="435">
        <v>2.5000000000000001E-3</v>
      </c>
      <c r="L321" s="435">
        <v>5.0000000000000001E-4</v>
      </c>
      <c r="M321" s="435"/>
      <c r="N321" s="435"/>
      <c r="O321" s="435">
        <v>1E-3</v>
      </c>
      <c r="P321" s="435"/>
      <c r="Q321" s="435"/>
      <c r="R321" s="435">
        <v>2.5000000000000001E-3</v>
      </c>
      <c r="S321" s="435"/>
      <c r="T321" s="435"/>
      <c r="U321" s="435"/>
      <c r="V321" s="435"/>
      <c r="W321" s="433">
        <v>6.8500000000000005E-2</v>
      </c>
      <c r="X321" s="18"/>
    </row>
    <row r="322" spans="1:24" x14ac:dyDescent="0.15">
      <c r="A322" s="436" t="s">
        <v>1184</v>
      </c>
      <c r="B322" s="434"/>
      <c r="C322" s="432" t="s">
        <v>1185</v>
      </c>
      <c r="D322" s="432" t="s">
        <v>1169</v>
      </c>
      <c r="E322" s="431">
        <v>4.7E-2</v>
      </c>
      <c r="F322" s="430" t="s">
        <v>641</v>
      </c>
      <c r="G322" s="435">
        <v>0.01</v>
      </c>
      <c r="H322" s="435">
        <v>2.5000000000000001E-3</v>
      </c>
      <c r="I322" s="435">
        <v>2.5000000000000001E-3</v>
      </c>
      <c r="J322" s="435"/>
      <c r="K322" s="435">
        <v>2.5000000000000001E-3</v>
      </c>
      <c r="L322" s="435">
        <v>5.0000000000000001E-4</v>
      </c>
      <c r="M322" s="435"/>
      <c r="N322" s="435"/>
      <c r="O322" s="435">
        <v>1E-3</v>
      </c>
      <c r="P322" s="435"/>
      <c r="Q322" s="435"/>
      <c r="R322" s="435">
        <v>2.5000000000000001E-3</v>
      </c>
      <c r="S322" s="435"/>
      <c r="T322" s="435"/>
      <c r="U322" s="435"/>
      <c r="V322" s="435"/>
      <c r="W322" s="433">
        <v>6.8500000000000005E-2</v>
      </c>
      <c r="X322" s="18"/>
    </row>
    <row r="323" spans="1:24" s="214" customFormat="1" x14ac:dyDescent="0.15">
      <c r="A323" s="436" t="s">
        <v>1186</v>
      </c>
      <c r="B323" s="434"/>
      <c r="C323" s="432" t="s">
        <v>1187</v>
      </c>
      <c r="D323" s="432" t="s">
        <v>1169</v>
      </c>
      <c r="E323" s="431">
        <v>4.7E-2</v>
      </c>
      <c r="F323" s="430" t="s">
        <v>641</v>
      </c>
      <c r="G323" s="435">
        <v>0.01</v>
      </c>
      <c r="H323" s="435">
        <v>2.5000000000000001E-3</v>
      </c>
      <c r="I323" s="435">
        <v>2.5000000000000001E-3</v>
      </c>
      <c r="J323" s="435"/>
      <c r="K323" s="435">
        <v>2.5000000000000001E-3</v>
      </c>
      <c r="L323" s="435">
        <v>5.0000000000000001E-4</v>
      </c>
      <c r="M323" s="435"/>
      <c r="N323" s="435"/>
      <c r="O323" s="435">
        <v>1E-3</v>
      </c>
      <c r="P323" s="435"/>
      <c r="Q323" s="435"/>
      <c r="R323" s="435">
        <v>2.5000000000000001E-3</v>
      </c>
      <c r="S323" s="435"/>
      <c r="T323" s="435"/>
      <c r="U323" s="435"/>
      <c r="V323" s="435"/>
      <c r="W323" s="433">
        <v>6.8500000000000005E-2</v>
      </c>
      <c r="X323" s="18"/>
    </row>
    <row r="324" spans="1:24" s="214" customFormat="1" ht="12.75" customHeight="1" x14ac:dyDescent="0.15">
      <c r="A324" s="436" t="s">
        <v>1188</v>
      </c>
      <c r="B324" s="434"/>
      <c r="C324" s="432" t="s">
        <v>1189</v>
      </c>
      <c r="D324" s="432" t="s">
        <v>1189</v>
      </c>
      <c r="E324" s="431">
        <v>4.7E-2</v>
      </c>
      <c r="F324" s="430" t="s">
        <v>641</v>
      </c>
      <c r="G324" s="435">
        <v>0.01</v>
      </c>
      <c r="H324" s="435">
        <v>2.5000000000000001E-3</v>
      </c>
      <c r="I324" s="435">
        <v>2.5000000000000001E-3</v>
      </c>
      <c r="J324" s="435"/>
      <c r="K324" s="435">
        <v>2.5000000000000001E-3</v>
      </c>
      <c r="L324" s="435">
        <v>5.0000000000000001E-4</v>
      </c>
      <c r="M324" s="435"/>
      <c r="N324" s="435"/>
      <c r="O324" s="435">
        <v>1E-3</v>
      </c>
      <c r="P324" s="435"/>
      <c r="Q324" s="435"/>
      <c r="R324" s="435">
        <v>2.5000000000000001E-3</v>
      </c>
      <c r="S324" s="435"/>
      <c r="T324" s="435">
        <v>2E-3</v>
      </c>
      <c r="U324" s="435"/>
      <c r="V324" s="435"/>
      <c r="W324" s="433">
        <v>7.0500000000000007E-2</v>
      </c>
      <c r="X324" s="18"/>
    </row>
    <row r="325" spans="1:24" s="214" customFormat="1" ht="12.75" customHeight="1" x14ac:dyDescent="0.15">
      <c r="A325" s="436" t="s">
        <v>1190</v>
      </c>
      <c r="B325" s="434"/>
      <c r="C325" s="432" t="s">
        <v>1191</v>
      </c>
      <c r="D325" s="432" t="s">
        <v>1169</v>
      </c>
      <c r="E325" s="431">
        <v>4.7E-2</v>
      </c>
      <c r="F325" s="430" t="s">
        <v>641</v>
      </c>
      <c r="G325" s="435">
        <v>0.01</v>
      </c>
      <c r="H325" s="435">
        <v>2.5000000000000001E-3</v>
      </c>
      <c r="I325" s="435">
        <v>2.5000000000000001E-3</v>
      </c>
      <c r="J325" s="435"/>
      <c r="K325" s="435">
        <v>2.5000000000000001E-3</v>
      </c>
      <c r="L325" s="435">
        <v>5.0000000000000001E-4</v>
      </c>
      <c r="M325" s="435"/>
      <c r="N325" s="435"/>
      <c r="O325" s="435">
        <v>1E-3</v>
      </c>
      <c r="P325" s="435"/>
      <c r="Q325" s="435"/>
      <c r="R325" s="435">
        <v>2.5000000000000001E-3</v>
      </c>
      <c r="S325" s="435"/>
      <c r="T325" s="435"/>
      <c r="U325" s="435"/>
      <c r="V325" s="435"/>
      <c r="W325" s="433">
        <v>6.8500000000000005E-2</v>
      </c>
      <c r="X325" s="18"/>
    </row>
    <row r="326" spans="1:24" s="214" customFormat="1" x14ac:dyDescent="0.15">
      <c r="A326" s="436" t="s">
        <v>1192</v>
      </c>
      <c r="B326" s="434"/>
      <c r="C326" s="432" t="s">
        <v>1193</v>
      </c>
      <c r="D326" s="432" t="s">
        <v>1169</v>
      </c>
      <c r="E326" s="431">
        <v>4.7E-2</v>
      </c>
      <c r="F326" s="430" t="s">
        <v>641</v>
      </c>
      <c r="G326" s="435">
        <v>0.01</v>
      </c>
      <c r="H326" s="435">
        <v>2.5000000000000001E-3</v>
      </c>
      <c r="I326" s="435">
        <v>2.5000000000000001E-3</v>
      </c>
      <c r="J326" s="435"/>
      <c r="K326" s="435">
        <v>2.5000000000000001E-3</v>
      </c>
      <c r="L326" s="435">
        <v>5.0000000000000001E-4</v>
      </c>
      <c r="M326" s="435"/>
      <c r="N326" s="435"/>
      <c r="O326" s="435">
        <v>1E-3</v>
      </c>
      <c r="P326" s="435"/>
      <c r="Q326" s="435"/>
      <c r="R326" s="435">
        <v>2.5000000000000001E-3</v>
      </c>
      <c r="S326" s="435"/>
      <c r="T326" s="435"/>
      <c r="U326" s="435"/>
      <c r="V326" s="435"/>
      <c r="W326" s="433">
        <v>6.8500000000000005E-2</v>
      </c>
      <c r="X326" s="18"/>
    </row>
    <row r="327" spans="1:24" x14ac:dyDescent="0.15">
      <c r="A327" s="436" t="s">
        <v>1194</v>
      </c>
      <c r="B327" s="434"/>
      <c r="C327" s="432" t="s">
        <v>1195</v>
      </c>
      <c r="D327" s="432" t="s">
        <v>1169</v>
      </c>
      <c r="E327" s="431">
        <v>4.7E-2</v>
      </c>
      <c r="F327" s="430" t="s">
        <v>641</v>
      </c>
      <c r="G327" s="435">
        <v>0.01</v>
      </c>
      <c r="H327" s="435">
        <v>2.5000000000000001E-3</v>
      </c>
      <c r="I327" s="435">
        <v>2.5000000000000001E-3</v>
      </c>
      <c r="J327" s="435"/>
      <c r="K327" s="435">
        <v>2.5000000000000001E-3</v>
      </c>
      <c r="L327" s="435">
        <v>5.0000000000000001E-4</v>
      </c>
      <c r="M327" s="435"/>
      <c r="N327" s="435"/>
      <c r="O327" s="435">
        <v>1E-3</v>
      </c>
      <c r="P327" s="435"/>
      <c r="Q327" s="435"/>
      <c r="R327" s="435">
        <v>2.5000000000000001E-3</v>
      </c>
      <c r="S327" s="435"/>
      <c r="T327" s="435"/>
      <c r="U327" s="435"/>
      <c r="V327" s="435"/>
      <c r="W327" s="433">
        <v>6.8500000000000005E-2</v>
      </c>
      <c r="X327" s="18"/>
    </row>
    <row r="328" spans="1:24" x14ac:dyDescent="0.15">
      <c r="A328" s="436" t="s">
        <v>1196</v>
      </c>
      <c r="B328" s="434"/>
      <c r="C328" s="432" t="s">
        <v>1197</v>
      </c>
      <c r="D328" s="432" t="s">
        <v>1169</v>
      </c>
      <c r="E328" s="431">
        <v>4.7E-2</v>
      </c>
      <c r="F328" s="430" t="s">
        <v>641</v>
      </c>
      <c r="G328" s="435">
        <v>0.01</v>
      </c>
      <c r="H328" s="435">
        <v>2.5000000000000001E-3</v>
      </c>
      <c r="I328" s="435">
        <v>2.5000000000000001E-3</v>
      </c>
      <c r="J328" s="435"/>
      <c r="K328" s="435">
        <v>2.5000000000000001E-3</v>
      </c>
      <c r="L328" s="435">
        <v>5.0000000000000001E-4</v>
      </c>
      <c r="M328" s="435"/>
      <c r="N328" s="435"/>
      <c r="O328" s="435">
        <v>1E-3</v>
      </c>
      <c r="P328" s="435"/>
      <c r="Q328" s="435"/>
      <c r="R328" s="435">
        <v>2.5000000000000001E-3</v>
      </c>
      <c r="S328" s="435"/>
      <c r="T328" s="435"/>
      <c r="U328" s="435"/>
      <c r="V328" s="435"/>
      <c r="W328" s="433">
        <v>6.8500000000000005E-2</v>
      </c>
      <c r="X328" s="18"/>
    </row>
    <row r="329" spans="1:24" x14ac:dyDescent="0.15">
      <c r="A329" s="436" t="s">
        <v>1198</v>
      </c>
      <c r="B329" s="434"/>
      <c r="C329" s="432" t="s">
        <v>1199</v>
      </c>
      <c r="D329" s="432" t="s">
        <v>1169</v>
      </c>
      <c r="E329" s="431">
        <v>4.7E-2</v>
      </c>
      <c r="F329" s="430" t="s">
        <v>641</v>
      </c>
      <c r="G329" s="435">
        <v>0.01</v>
      </c>
      <c r="H329" s="435">
        <v>2.5000000000000001E-3</v>
      </c>
      <c r="I329" s="435">
        <v>2.5000000000000001E-3</v>
      </c>
      <c r="J329" s="435"/>
      <c r="K329" s="435">
        <v>2.5000000000000001E-3</v>
      </c>
      <c r="L329" s="435">
        <v>5.0000000000000001E-4</v>
      </c>
      <c r="M329" s="435"/>
      <c r="N329" s="435"/>
      <c r="O329" s="435">
        <v>1E-3</v>
      </c>
      <c r="P329" s="435"/>
      <c r="Q329" s="435"/>
      <c r="R329" s="435">
        <v>2.5000000000000001E-3</v>
      </c>
      <c r="S329" s="435"/>
      <c r="T329" s="435"/>
      <c r="U329" s="435"/>
      <c r="V329" s="435"/>
      <c r="W329" s="433">
        <v>6.8500000000000005E-2</v>
      </c>
      <c r="X329" s="18"/>
    </row>
    <row r="330" spans="1:24" x14ac:dyDescent="0.15">
      <c r="A330" s="436" t="s">
        <v>1343</v>
      </c>
      <c r="B330" s="434" t="s">
        <v>723</v>
      </c>
      <c r="C330" s="432" t="s">
        <v>1344</v>
      </c>
      <c r="D330" s="432"/>
      <c r="E330" s="431">
        <v>4.7E-2</v>
      </c>
      <c r="F330" s="430" t="s">
        <v>641</v>
      </c>
      <c r="G330" s="435">
        <v>0.01</v>
      </c>
      <c r="H330" s="435">
        <v>2.5000000000000001E-3</v>
      </c>
      <c r="I330" s="435">
        <v>2.5000000000000001E-3</v>
      </c>
      <c r="J330" s="435"/>
      <c r="K330" s="435">
        <v>2.5000000000000001E-3</v>
      </c>
      <c r="L330" s="435">
        <v>5.0000000000000001E-4</v>
      </c>
      <c r="M330" s="435"/>
      <c r="N330" s="435"/>
      <c r="O330" s="435">
        <v>1E-3</v>
      </c>
      <c r="P330" s="435"/>
      <c r="Q330" s="435"/>
      <c r="R330" s="435">
        <v>2.5000000000000001E-3</v>
      </c>
      <c r="S330" s="435"/>
      <c r="T330" s="435">
        <v>2E-3</v>
      </c>
      <c r="U330" s="435"/>
      <c r="V330" s="435"/>
      <c r="W330" s="433">
        <v>7.0500000000000007E-2</v>
      </c>
      <c r="X330" s="18"/>
    </row>
    <row r="331" spans="1:24" x14ac:dyDescent="0.15">
      <c r="A331" s="436" t="s">
        <v>1345</v>
      </c>
      <c r="B331" s="434" t="s">
        <v>723</v>
      </c>
      <c r="C331" s="432" t="s">
        <v>1346</v>
      </c>
      <c r="D331" s="432"/>
      <c r="E331" s="431">
        <v>4.7E-2</v>
      </c>
      <c r="F331" s="430" t="s">
        <v>641</v>
      </c>
      <c r="G331" s="435">
        <v>0.01</v>
      </c>
      <c r="H331" s="435">
        <v>2.5000000000000001E-3</v>
      </c>
      <c r="I331" s="435">
        <v>2.5000000000000001E-3</v>
      </c>
      <c r="J331" s="435"/>
      <c r="K331" s="435">
        <v>2.5000000000000001E-3</v>
      </c>
      <c r="L331" s="435">
        <v>5.0000000000000001E-4</v>
      </c>
      <c r="M331" s="435"/>
      <c r="N331" s="435"/>
      <c r="O331" s="435">
        <v>1E-3</v>
      </c>
      <c r="P331" s="435"/>
      <c r="Q331" s="435"/>
      <c r="R331" s="435">
        <v>2.5000000000000001E-3</v>
      </c>
      <c r="S331" s="435"/>
      <c r="T331" s="435"/>
      <c r="U331" s="435"/>
      <c r="V331" s="435"/>
      <c r="W331" s="433">
        <v>6.8500000000000005E-2</v>
      </c>
      <c r="X331" s="18"/>
    </row>
    <row r="332" spans="1:24" x14ac:dyDescent="0.15">
      <c r="A332" s="531"/>
      <c r="B332" s="531"/>
      <c r="C332" s="532"/>
      <c r="D332" s="532"/>
      <c r="E332" s="533"/>
      <c r="F332" s="533"/>
      <c r="G332" s="534"/>
      <c r="H332" s="534"/>
      <c r="I332" s="534"/>
      <c r="J332" s="534"/>
      <c r="K332" s="534"/>
      <c r="L332" s="534"/>
      <c r="M332" s="534"/>
      <c r="N332" s="534"/>
      <c r="O332" s="534"/>
      <c r="P332" s="534"/>
      <c r="Q332" s="534"/>
      <c r="R332" s="534"/>
      <c r="S332" s="534"/>
      <c r="T332" s="534"/>
      <c r="U332" s="534"/>
      <c r="V332" s="534"/>
      <c r="W332" s="535"/>
      <c r="X332" s="18"/>
    </row>
    <row r="333" spans="1:24" ht="16" x14ac:dyDescent="0.2">
      <c r="A333" s="536" t="s">
        <v>1200</v>
      </c>
      <c r="B333" s="537"/>
      <c r="C333" s="538"/>
      <c r="D333" s="538"/>
      <c r="E333" s="539"/>
      <c r="F333" s="540"/>
      <c r="G333" s="539"/>
      <c r="H333" s="539"/>
      <c r="I333" s="539"/>
      <c r="J333" s="539"/>
      <c r="K333" s="539"/>
      <c r="L333" s="539"/>
      <c r="M333" s="539"/>
      <c r="N333" s="539"/>
      <c r="O333" s="539"/>
      <c r="P333" s="539"/>
      <c r="Q333" s="539"/>
      <c r="R333" s="539"/>
      <c r="S333" s="539"/>
      <c r="T333" s="539"/>
      <c r="U333" s="539"/>
      <c r="V333" s="539"/>
      <c r="W333" s="535"/>
      <c r="X333" s="541"/>
    </row>
    <row r="334" spans="1:24" ht="12.75" customHeight="1" x14ac:dyDescent="0.15">
      <c r="A334" s="1416" t="s">
        <v>1201</v>
      </c>
      <c r="B334" s="1417"/>
      <c r="C334" s="1417"/>
      <c r="D334" s="1417"/>
      <c r="E334" s="1417"/>
      <c r="F334" s="1417"/>
      <c r="G334" s="1417"/>
      <c r="H334" s="1417"/>
      <c r="I334" s="1417"/>
      <c r="J334" s="1417"/>
      <c r="K334" s="1417"/>
      <c r="L334" s="1417"/>
      <c r="M334" s="1417"/>
      <c r="N334" s="1417"/>
      <c r="O334" s="1417"/>
      <c r="P334" s="1417"/>
      <c r="Q334" s="1417"/>
      <c r="R334" s="1417"/>
      <c r="S334" s="1417"/>
      <c r="T334" s="1417"/>
      <c r="U334" s="1417"/>
      <c r="V334" s="1417"/>
      <c r="W334" s="1417"/>
      <c r="X334" s="541"/>
    </row>
    <row r="335" spans="1:24" ht="12.75" customHeight="1" x14ac:dyDescent="0.15">
      <c r="A335" s="1418" t="s">
        <v>1202</v>
      </c>
      <c r="B335" s="1419"/>
      <c r="C335" s="1419"/>
      <c r="D335" s="1419"/>
      <c r="E335" s="1419"/>
      <c r="F335" s="1419"/>
      <c r="G335" s="1419"/>
      <c r="H335" s="1419"/>
      <c r="I335" s="1419"/>
      <c r="J335" s="1419"/>
      <c r="K335" s="1419"/>
      <c r="L335" s="1419"/>
      <c r="M335" s="1419"/>
      <c r="N335" s="1419"/>
      <c r="O335" s="1419"/>
      <c r="P335" s="1419"/>
      <c r="Q335" s="1419"/>
      <c r="R335" s="542"/>
      <c r="S335" s="542"/>
      <c r="T335" s="542"/>
      <c r="U335" s="542"/>
      <c r="V335" s="542"/>
      <c r="W335" s="535"/>
      <c r="X335" s="541"/>
    </row>
    <row r="336" spans="1:24" x14ac:dyDescent="0.15">
      <c r="A336" s="543" t="s">
        <v>1203</v>
      </c>
      <c r="B336" s="537"/>
      <c r="C336" s="538"/>
      <c r="D336" s="538"/>
      <c r="E336" s="540"/>
      <c r="F336" s="540"/>
      <c r="G336" s="542"/>
      <c r="H336" s="542"/>
      <c r="I336" s="542"/>
      <c r="J336" s="542"/>
      <c r="K336" s="542"/>
      <c r="L336" s="542"/>
      <c r="M336" s="542"/>
      <c r="N336" s="542"/>
      <c r="O336" s="542"/>
      <c r="P336" s="542"/>
      <c r="Q336" s="542"/>
      <c r="R336" s="542"/>
      <c r="S336" s="542"/>
      <c r="T336" s="542"/>
      <c r="U336" s="542"/>
      <c r="V336" s="542"/>
      <c r="W336" s="535"/>
      <c r="X336" s="541"/>
    </row>
    <row r="337" spans="1:24" ht="16" x14ac:dyDescent="0.2">
      <c r="A337" s="544" t="s">
        <v>1204</v>
      </c>
      <c r="B337" s="544"/>
      <c r="C337" s="544"/>
      <c r="D337" s="18"/>
      <c r="E337" s="18"/>
      <c r="F337" s="18"/>
      <c r="G337" s="18"/>
      <c r="H337" s="18"/>
      <c r="I337" s="18"/>
      <c r="J337" s="18"/>
      <c r="K337" s="18"/>
      <c r="L337" s="18"/>
      <c r="M337" s="18"/>
      <c r="N337" s="18"/>
      <c r="O337" s="18"/>
      <c r="P337" s="18"/>
      <c r="Q337" s="18"/>
      <c r="R337" s="18"/>
      <c r="S337" s="18"/>
      <c r="T337" s="18"/>
      <c r="U337" s="18"/>
      <c r="V337" s="18"/>
      <c r="W337" s="545"/>
      <c r="X337" s="18"/>
    </row>
    <row r="338" spans="1:24" ht="16" x14ac:dyDescent="0.2">
      <c r="A338" s="546" t="s">
        <v>1347</v>
      </c>
      <c r="B338" s="544"/>
      <c r="C338" s="544"/>
      <c r="D338" s="18"/>
      <c r="E338" s="18"/>
      <c r="F338" s="18"/>
      <c r="G338" s="18"/>
      <c r="H338" s="18"/>
      <c r="I338" s="18"/>
      <c r="J338" s="18"/>
      <c r="K338" s="18"/>
      <c r="L338" s="18"/>
      <c r="M338" s="18"/>
      <c r="N338" s="18"/>
      <c r="O338" s="18"/>
      <c r="P338" s="18"/>
      <c r="Q338" s="18"/>
      <c r="R338" s="18"/>
      <c r="S338" s="18"/>
      <c r="T338" s="18"/>
      <c r="U338" s="18"/>
      <c r="V338" s="18"/>
      <c r="W338" s="545"/>
      <c r="X338" s="18"/>
    </row>
    <row r="339" spans="1:24" ht="16" x14ac:dyDescent="0.2">
      <c r="A339" s="473" t="s">
        <v>1348</v>
      </c>
      <c r="B339" s="544"/>
      <c r="C339" s="18"/>
      <c r="D339" s="547"/>
      <c r="E339" s="548"/>
      <c r="F339" s="549"/>
      <c r="G339" s="18"/>
      <c r="H339" s="18"/>
      <c r="I339" s="18"/>
      <c r="J339" s="18"/>
      <c r="K339" s="18"/>
      <c r="L339" s="18"/>
      <c r="M339" s="18"/>
      <c r="N339" s="18"/>
      <c r="O339" s="18"/>
      <c r="P339" s="18"/>
      <c r="Q339" s="18"/>
      <c r="R339" s="18"/>
      <c r="S339" s="18"/>
      <c r="T339" s="18"/>
      <c r="U339" s="18"/>
      <c r="V339" s="545"/>
      <c r="W339" s="18"/>
      <c r="X339" s="18"/>
    </row>
    <row r="340" spans="1:24" ht="16" x14ac:dyDescent="0.2">
      <c r="A340" s="473"/>
      <c r="B340" s="544"/>
      <c r="C340" s="18"/>
      <c r="D340" s="547"/>
      <c r="E340" s="548"/>
      <c r="F340" s="549"/>
      <c r="G340" s="18"/>
      <c r="H340" s="18"/>
      <c r="I340" s="18"/>
      <c r="J340" s="18"/>
      <c r="K340" s="18"/>
      <c r="L340" s="18"/>
      <c r="M340" s="18"/>
      <c r="N340" s="18"/>
      <c r="O340" s="18"/>
      <c r="P340" s="18"/>
      <c r="Q340" s="18"/>
      <c r="R340" s="18"/>
      <c r="S340" s="18"/>
      <c r="T340" s="18"/>
      <c r="U340" s="18"/>
      <c r="V340" s="545"/>
      <c r="W340" s="18"/>
      <c r="X340" s="18"/>
    </row>
    <row r="341" spans="1:24" x14ac:dyDescent="0.15">
      <c r="A341" s="1420" t="s">
        <v>1349</v>
      </c>
      <c r="B341" s="1421"/>
      <c r="C341" s="1421"/>
      <c r="D341" s="1421"/>
      <c r="E341" s="1421"/>
      <c r="F341" s="1421"/>
      <c r="G341" s="1421"/>
      <c r="H341" s="1421"/>
      <c r="I341" s="1421"/>
      <c r="J341" s="1421"/>
      <c r="K341" s="1421"/>
      <c r="L341" s="1421"/>
      <c r="M341" s="1421"/>
      <c r="N341" s="1421"/>
      <c r="O341" s="1421"/>
      <c r="P341" s="1421"/>
      <c r="Q341" s="1421"/>
      <c r="R341" s="1421"/>
      <c r="S341" s="1421"/>
      <c r="T341" s="1421"/>
      <c r="U341" s="1421"/>
      <c r="V341" s="1421"/>
      <c r="W341" s="18"/>
      <c r="X341" s="18"/>
    </row>
    <row r="342" spans="1:24" x14ac:dyDescent="0.15">
      <c r="A342" s="18"/>
      <c r="B342" s="18"/>
      <c r="C342" s="18"/>
      <c r="D342" s="18"/>
      <c r="E342" s="18"/>
      <c r="F342" s="18"/>
      <c r="G342" s="18"/>
      <c r="H342" s="550"/>
      <c r="I342" s="550"/>
      <c r="J342" s="550"/>
      <c r="K342" s="550"/>
      <c r="L342" s="550"/>
      <c r="M342" s="550"/>
      <c r="N342" s="18"/>
      <c r="O342" s="18"/>
      <c r="P342" s="18"/>
      <c r="Q342" s="18"/>
      <c r="R342" s="550"/>
      <c r="S342" s="468"/>
      <c r="T342" s="468"/>
      <c r="U342" s="468"/>
      <c r="V342" s="468"/>
      <c r="W342" s="551"/>
      <c r="X342" s="18"/>
    </row>
    <row r="343" spans="1:24" x14ac:dyDescent="0.15">
      <c r="A343" s="18"/>
      <c r="B343" s="18"/>
      <c r="C343" s="18"/>
      <c r="D343" s="18"/>
      <c r="E343" s="18"/>
      <c r="F343" s="18"/>
      <c r="G343" s="18"/>
      <c r="H343" s="550"/>
      <c r="I343" s="550"/>
      <c r="J343" s="550"/>
      <c r="K343" s="550"/>
      <c r="L343" s="550"/>
      <c r="M343" s="550"/>
      <c r="N343" s="18"/>
      <c r="O343" s="18"/>
      <c r="P343" s="18"/>
      <c r="Q343" s="18"/>
      <c r="R343" s="550"/>
      <c r="S343" s="468"/>
      <c r="T343" s="468"/>
      <c r="U343" s="468"/>
      <c r="V343" s="468"/>
      <c r="W343" s="551"/>
      <c r="X343" s="18"/>
    </row>
    <row r="344" spans="1:24" x14ac:dyDescent="0.15">
      <c r="A344" s="18"/>
      <c r="B344" s="18"/>
      <c r="C344" s="18"/>
      <c r="D344" s="18"/>
      <c r="E344" s="18"/>
      <c r="F344" s="18"/>
      <c r="G344" s="18"/>
      <c r="H344" s="550"/>
      <c r="I344" s="550"/>
      <c r="J344" s="550"/>
      <c r="K344" s="550"/>
      <c r="L344" s="550"/>
      <c r="M344" s="550"/>
      <c r="N344" s="18"/>
      <c r="O344" s="18"/>
      <c r="P344" s="18"/>
      <c r="Q344" s="18"/>
      <c r="R344" s="550"/>
      <c r="S344" s="468"/>
      <c r="T344" s="468"/>
      <c r="U344" s="468"/>
      <c r="V344" s="468"/>
      <c r="W344" s="551"/>
      <c r="X344" s="18"/>
    </row>
    <row r="345" spans="1:24" x14ac:dyDescent="0.15">
      <c r="A345" s="18"/>
      <c r="B345" s="18"/>
      <c r="C345" s="18"/>
      <c r="D345" s="18"/>
      <c r="E345" s="18"/>
      <c r="F345" s="18"/>
      <c r="G345" s="18"/>
      <c r="H345" s="550"/>
      <c r="I345" s="550"/>
      <c r="J345" s="550"/>
      <c r="K345" s="550"/>
      <c r="L345" s="550"/>
      <c r="M345" s="550"/>
      <c r="N345" s="18"/>
      <c r="O345" s="18"/>
      <c r="P345" s="18"/>
      <c r="Q345" s="18"/>
      <c r="R345" s="550"/>
      <c r="S345" s="468"/>
      <c r="T345" s="468"/>
      <c r="U345" s="468"/>
      <c r="V345" s="468"/>
      <c r="W345" s="551"/>
      <c r="X345" s="18"/>
    </row>
    <row r="346" spans="1:24" x14ac:dyDescent="0.15">
      <c r="A346" s="18"/>
      <c r="B346" s="18"/>
      <c r="C346" s="18"/>
      <c r="D346" s="18"/>
      <c r="E346" s="18"/>
      <c r="F346" s="18"/>
      <c r="G346" s="18"/>
      <c r="H346" s="550"/>
      <c r="I346" s="550"/>
      <c r="J346" s="550"/>
      <c r="K346" s="550"/>
      <c r="L346" s="550"/>
      <c r="M346" s="550"/>
      <c r="N346" s="18"/>
      <c r="O346" s="18"/>
      <c r="P346" s="18"/>
      <c r="Q346" s="18"/>
      <c r="R346" s="550"/>
      <c r="S346" s="468"/>
      <c r="T346" s="468"/>
      <c r="U346" s="468"/>
      <c r="V346" s="468"/>
      <c r="W346" s="551"/>
      <c r="X346" s="18"/>
    </row>
    <row r="347" spans="1:24" x14ac:dyDescent="0.15">
      <c r="A347" s="18"/>
      <c r="B347" s="18"/>
      <c r="C347" s="18"/>
      <c r="D347" s="18"/>
      <c r="E347" s="18"/>
      <c r="F347" s="18"/>
      <c r="G347" s="18"/>
      <c r="H347" s="550"/>
      <c r="I347" s="550"/>
      <c r="J347" s="550"/>
      <c r="K347" s="550"/>
      <c r="L347" s="550"/>
      <c r="M347" s="550"/>
      <c r="N347" s="18"/>
      <c r="O347" s="18"/>
      <c r="P347" s="18"/>
      <c r="Q347" s="18"/>
      <c r="R347" s="550"/>
      <c r="S347" s="468"/>
      <c r="T347" s="468"/>
      <c r="U347" s="468"/>
      <c r="V347" s="468"/>
      <c r="W347" s="551"/>
      <c r="X347" s="18"/>
    </row>
    <row r="348" spans="1:24" x14ac:dyDescent="0.15">
      <c r="A348" s="18"/>
      <c r="B348" s="18"/>
      <c r="C348" s="18"/>
      <c r="D348" s="18"/>
      <c r="E348" s="18"/>
      <c r="F348" s="18"/>
      <c r="G348" s="18"/>
      <c r="H348" s="550"/>
      <c r="I348" s="550"/>
      <c r="J348" s="550"/>
      <c r="K348" s="550"/>
      <c r="L348" s="550"/>
      <c r="M348" s="550"/>
      <c r="N348" s="18"/>
      <c r="O348" s="18"/>
      <c r="P348" s="18"/>
      <c r="Q348" s="18"/>
      <c r="R348" s="550"/>
      <c r="S348" s="468"/>
      <c r="T348" s="468"/>
      <c r="U348" s="468"/>
      <c r="V348" s="468"/>
      <c r="W348" s="551"/>
      <c r="X348" s="18"/>
    </row>
    <row r="349" spans="1:24" x14ac:dyDescent="0.15">
      <c r="A349" s="18"/>
      <c r="B349" s="18"/>
      <c r="C349" s="18"/>
      <c r="D349" s="18"/>
      <c r="E349" s="18"/>
      <c r="F349" s="18"/>
      <c r="G349" s="18"/>
      <c r="H349" s="550"/>
      <c r="I349" s="550"/>
      <c r="J349" s="550"/>
      <c r="K349" s="550"/>
      <c r="L349" s="550"/>
      <c r="M349" s="550"/>
      <c r="N349" s="18"/>
      <c r="O349" s="18"/>
      <c r="P349" s="18"/>
      <c r="Q349" s="18"/>
      <c r="R349" s="550"/>
      <c r="S349" s="468"/>
      <c r="T349" s="468"/>
      <c r="U349" s="468"/>
      <c r="V349" s="468"/>
      <c r="W349" s="551"/>
      <c r="X349" s="18"/>
    </row>
    <row r="350" spans="1:24" x14ac:dyDescent="0.15">
      <c r="A350" s="18"/>
      <c r="B350" s="18"/>
      <c r="C350" s="18"/>
      <c r="D350" s="18"/>
      <c r="E350" s="18"/>
      <c r="F350" s="18"/>
      <c r="G350" s="18"/>
      <c r="H350" s="550"/>
      <c r="I350" s="550"/>
      <c r="J350" s="550"/>
      <c r="K350" s="550"/>
      <c r="L350" s="550"/>
      <c r="M350" s="550"/>
      <c r="N350" s="18"/>
      <c r="O350" s="18"/>
      <c r="P350" s="18"/>
      <c r="Q350" s="18"/>
      <c r="R350" s="550"/>
      <c r="S350" s="468"/>
      <c r="T350" s="468"/>
      <c r="U350" s="468"/>
      <c r="V350" s="468"/>
      <c r="W350" s="551"/>
      <c r="X350" s="18"/>
    </row>
    <row r="351" spans="1:24" x14ac:dyDescent="0.15">
      <c r="A351" s="18"/>
      <c r="B351" s="18"/>
      <c r="C351" s="18"/>
      <c r="D351" s="18"/>
      <c r="E351" s="18"/>
      <c r="F351" s="18"/>
      <c r="G351" s="18"/>
      <c r="H351" s="550"/>
      <c r="I351" s="550"/>
      <c r="J351" s="550"/>
      <c r="K351" s="550"/>
      <c r="L351" s="550"/>
      <c r="M351" s="550"/>
      <c r="N351" s="18"/>
      <c r="O351" s="18"/>
      <c r="P351" s="18"/>
      <c r="Q351" s="18"/>
      <c r="R351" s="550"/>
      <c r="S351" s="468"/>
      <c r="T351" s="468"/>
      <c r="U351" s="468"/>
      <c r="V351" s="468"/>
      <c r="W351" s="551"/>
      <c r="X351" s="18"/>
    </row>
    <row r="352" spans="1:24" x14ac:dyDescent="0.15">
      <c r="A352" s="18"/>
      <c r="B352" s="18"/>
      <c r="C352" s="18"/>
      <c r="D352" s="18"/>
      <c r="E352" s="18"/>
      <c r="F352" s="18"/>
      <c r="G352" s="18"/>
      <c r="H352" s="550"/>
      <c r="I352" s="550"/>
      <c r="J352" s="550"/>
      <c r="K352" s="550"/>
      <c r="L352" s="550"/>
      <c r="M352" s="550"/>
      <c r="N352" s="18"/>
      <c r="O352" s="18"/>
      <c r="P352" s="18"/>
      <c r="Q352" s="18"/>
      <c r="R352" s="550"/>
      <c r="S352" s="468"/>
      <c r="T352" s="468"/>
      <c r="U352" s="468"/>
      <c r="V352" s="468"/>
      <c r="W352" s="551"/>
      <c r="X352" s="18"/>
    </row>
    <row r="353" spans="1:24" x14ac:dyDescent="0.15">
      <c r="A353" s="18"/>
      <c r="B353" s="18"/>
      <c r="C353" s="18"/>
      <c r="D353" s="18"/>
      <c r="E353" s="18"/>
      <c r="F353" s="18"/>
      <c r="G353" s="18"/>
      <c r="H353" s="550"/>
      <c r="I353" s="550"/>
      <c r="J353" s="550"/>
      <c r="K353" s="550"/>
      <c r="L353" s="550"/>
      <c r="M353" s="550"/>
      <c r="N353" s="18"/>
      <c r="O353" s="18"/>
      <c r="P353" s="18"/>
      <c r="Q353" s="18"/>
      <c r="R353" s="550"/>
      <c r="S353" s="468"/>
      <c r="T353" s="468"/>
      <c r="U353" s="468"/>
      <c r="V353" s="468"/>
      <c r="W353" s="551"/>
      <c r="X353" s="18"/>
    </row>
    <row r="354" spans="1:24" x14ac:dyDescent="0.15">
      <c r="A354" s="18"/>
      <c r="B354" s="18"/>
      <c r="C354" s="18"/>
      <c r="D354" s="18"/>
      <c r="E354" s="18"/>
      <c r="F354" s="18"/>
      <c r="G354" s="18"/>
      <c r="H354" s="550"/>
      <c r="I354" s="550"/>
      <c r="J354" s="550"/>
      <c r="K354" s="550"/>
      <c r="L354" s="550"/>
      <c r="M354" s="550"/>
      <c r="N354" s="18"/>
      <c r="O354" s="18"/>
      <c r="P354" s="18"/>
      <c r="Q354" s="18"/>
      <c r="R354" s="550"/>
      <c r="S354" s="468"/>
      <c r="T354" s="468"/>
      <c r="U354" s="468"/>
      <c r="V354" s="468"/>
      <c r="W354" s="551"/>
      <c r="X354" s="18"/>
    </row>
    <row r="355" spans="1:24" x14ac:dyDescent="0.15">
      <c r="A355" s="18"/>
      <c r="B355" s="18"/>
      <c r="C355" s="18"/>
      <c r="D355" s="18"/>
      <c r="E355" s="18"/>
      <c r="F355" s="18"/>
      <c r="G355" s="18"/>
      <c r="H355" s="550"/>
      <c r="I355" s="550"/>
      <c r="J355" s="550"/>
      <c r="K355" s="550"/>
      <c r="L355" s="550"/>
      <c r="M355" s="550"/>
      <c r="N355" s="18"/>
      <c r="O355" s="18"/>
      <c r="P355" s="18"/>
      <c r="Q355" s="18"/>
      <c r="R355" s="550"/>
      <c r="S355" s="468"/>
      <c r="T355" s="468"/>
      <c r="U355" s="468"/>
      <c r="V355" s="468"/>
      <c r="W355" s="551"/>
      <c r="X355" s="18"/>
    </row>
    <row r="356" spans="1:24" x14ac:dyDescent="0.15">
      <c r="A356" s="18"/>
      <c r="B356" s="18"/>
      <c r="C356" s="18"/>
      <c r="D356" s="18"/>
      <c r="E356" s="18"/>
      <c r="F356" s="18"/>
      <c r="G356" s="18"/>
      <c r="H356" s="550"/>
      <c r="I356" s="550"/>
      <c r="J356" s="550"/>
      <c r="K356" s="550"/>
      <c r="L356" s="550"/>
      <c r="M356" s="550"/>
      <c r="N356" s="18"/>
      <c r="O356" s="18"/>
      <c r="P356" s="18"/>
      <c r="Q356" s="18"/>
      <c r="R356" s="550"/>
      <c r="S356" s="468"/>
      <c r="T356" s="468"/>
      <c r="U356" s="468"/>
      <c r="V356" s="468"/>
      <c r="W356" s="551"/>
      <c r="X356" s="18"/>
    </row>
    <row r="357" spans="1:24" x14ac:dyDescent="0.15">
      <c r="A357" s="18"/>
      <c r="B357" s="18"/>
      <c r="C357" s="18"/>
      <c r="D357" s="18"/>
      <c r="E357" s="18"/>
      <c r="F357" s="18"/>
      <c r="G357" s="18"/>
      <c r="H357" s="550"/>
      <c r="I357" s="550"/>
      <c r="J357" s="550"/>
      <c r="K357" s="550"/>
      <c r="L357" s="550"/>
      <c r="M357" s="550"/>
      <c r="N357" s="18"/>
      <c r="O357" s="18"/>
      <c r="P357" s="18"/>
      <c r="Q357" s="18"/>
      <c r="R357" s="550"/>
      <c r="S357" s="468"/>
      <c r="T357" s="468"/>
      <c r="U357" s="468"/>
      <c r="V357" s="468"/>
      <c r="W357" s="551"/>
      <c r="X357" s="18"/>
    </row>
    <row r="358" spans="1:24" x14ac:dyDescent="0.15">
      <c r="A358" s="18"/>
      <c r="B358" s="18"/>
      <c r="C358" s="18"/>
      <c r="D358" s="18"/>
      <c r="E358" s="18"/>
      <c r="F358" s="18"/>
      <c r="G358" s="18"/>
      <c r="H358" s="550"/>
      <c r="I358" s="550"/>
      <c r="J358" s="550"/>
      <c r="K358" s="550"/>
      <c r="L358" s="550"/>
      <c r="M358" s="550"/>
      <c r="N358" s="18"/>
      <c r="O358" s="18"/>
      <c r="P358" s="18"/>
      <c r="Q358" s="18"/>
      <c r="R358" s="550"/>
      <c r="S358" s="468"/>
      <c r="T358" s="468"/>
      <c r="U358" s="468"/>
      <c r="V358" s="468"/>
      <c r="W358" s="551"/>
      <c r="X358" s="18"/>
    </row>
    <row r="359" spans="1:24" x14ac:dyDescent="0.15">
      <c r="A359" s="18"/>
      <c r="B359" s="18"/>
      <c r="C359" s="18"/>
      <c r="D359" s="18"/>
      <c r="E359" s="18"/>
      <c r="F359" s="18"/>
      <c r="G359" s="18"/>
      <c r="H359" s="550"/>
      <c r="I359" s="550"/>
      <c r="J359" s="550"/>
      <c r="K359" s="550"/>
      <c r="L359" s="550"/>
      <c r="M359" s="550"/>
      <c r="N359" s="18"/>
      <c r="O359" s="18"/>
      <c r="P359" s="18"/>
      <c r="Q359" s="18"/>
      <c r="R359" s="550"/>
      <c r="S359" s="468"/>
      <c r="T359" s="468"/>
      <c r="U359" s="468"/>
      <c r="V359" s="468"/>
      <c r="W359" s="551"/>
      <c r="X359" s="18"/>
    </row>
    <row r="360" spans="1:24" x14ac:dyDescent="0.15">
      <c r="A360" s="18"/>
      <c r="B360" s="18"/>
      <c r="C360" s="18"/>
      <c r="D360" s="18"/>
      <c r="E360" s="18"/>
      <c r="F360" s="18"/>
      <c r="G360" s="18"/>
      <c r="H360" s="550"/>
      <c r="I360" s="550"/>
      <c r="J360" s="550"/>
      <c r="K360" s="550"/>
      <c r="L360" s="550"/>
      <c r="M360" s="550"/>
      <c r="N360" s="18"/>
      <c r="O360" s="18"/>
      <c r="P360" s="18"/>
      <c r="Q360" s="18"/>
      <c r="R360" s="550"/>
      <c r="S360" s="468"/>
      <c r="T360" s="468"/>
      <c r="U360" s="468"/>
      <c r="V360" s="468"/>
      <c r="W360" s="551"/>
      <c r="X360" s="18"/>
    </row>
    <row r="361" spans="1:24" x14ac:dyDescent="0.15">
      <c r="A361" s="18"/>
      <c r="B361" s="18"/>
      <c r="C361" s="18"/>
      <c r="D361" s="18"/>
      <c r="E361" s="18"/>
      <c r="F361" s="18"/>
      <c r="G361" s="18"/>
      <c r="H361" s="550"/>
      <c r="I361" s="550"/>
      <c r="J361" s="550"/>
      <c r="K361" s="550"/>
      <c r="L361" s="550"/>
      <c r="M361" s="550"/>
      <c r="N361" s="18"/>
      <c r="O361" s="18"/>
      <c r="P361" s="18"/>
      <c r="Q361" s="18"/>
      <c r="R361" s="550"/>
      <c r="S361" s="468"/>
      <c r="T361" s="468"/>
      <c r="U361" s="468"/>
      <c r="V361" s="468"/>
      <c r="W361" s="551"/>
      <c r="X361" s="18"/>
    </row>
    <row r="362" spans="1:24" x14ac:dyDescent="0.15">
      <c r="A362" s="18"/>
      <c r="B362" s="18"/>
      <c r="C362" s="18"/>
      <c r="D362" s="18"/>
      <c r="E362" s="18"/>
      <c r="F362" s="18"/>
      <c r="G362" s="18"/>
      <c r="H362" s="550"/>
      <c r="I362" s="550"/>
      <c r="J362" s="550"/>
      <c r="K362" s="550"/>
      <c r="L362" s="550"/>
      <c r="M362" s="550"/>
      <c r="N362" s="18"/>
      <c r="O362" s="18"/>
      <c r="P362" s="18"/>
      <c r="Q362" s="18"/>
      <c r="R362" s="550"/>
      <c r="S362" s="468"/>
      <c r="T362" s="468"/>
      <c r="U362" s="468"/>
      <c r="V362" s="468"/>
      <c r="W362" s="551"/>
      <c r="X362" s="18"/>
    </row>
    <row r="363" spans="1:24" x14ac:dyDescent="0.15">
      <c r="A363" s="18"/>
      <c r="B363" s="18"/>
      <c r="C363" s="18"/>
      <c r="D363" s="18"/>
      <c r="E363" s="18"/>
      <c r="F363" s="18"/>
      <c r="G363" s="18"/>
      <c r="H363" s="550"/>
      <c r="I363" s="550"/>
      <c r="J363" s="550"/>
      <c r="K363" s="550"/>
      <c r="L363" s="550"/>
      <c r="M363" s="550"/>
      <c r="N363" s="18"/>
      <c r="O363" s="18"/>
      <c r="P363" s="18"/>
      <c r="Q363" s="18"/>
      <c r="R363" s="550"/>
      <c r="S363" s="468"/>
      <c r="T363" s="468"/>
      <c r="U363" s="468"/>
      <c r="V363" s="468"/>
      <c r="W363" s="551"/>
      <c r="X363" s="18"/>
    </row>
    <row r="364" spans="1:24" x14ac:dyDescent="0.15">
      <c r="A364" s="18"/>
      <c r="B364" s="18"/>
      <c r="C364" s="18"/>
      <c r="D364" s="18"/>
      <c r="E364" s="18"/>
      <c r="F364" s="18"/>
      <c r="G364" s="18"/>
      <c r="H364" s="550"/>
      <c r="I364" s="550"/>
      <c r="J364" s="550"/>
      <c r="K364" s="550"/>
      <c r="L364" s="550"/>
      <c r="M364" s="550"/>
      <c r="N364" s="18"/>
      <c r="O364" s="18"/>
      <c r="P364" s="18"/>
      <c r="Q364" s="18"/>
      <c r="R364" s="550"/>
      <c r="S364" s="468"/>
      <c r="T364" s="468"/>
      <c r="U364" s="468"/>
      <c r="V364" s="468"/>
      <c r="W364" s="551"/>
      <c r="X364" s="18"/>
    </row>
    <row r="365" spans="1:24" x14ac:dyDescent="0.15">
      <c r="A365" s="18"/>
      <c r="B365" s="18"/>
      <c r="C365" s="18"/>
      <c r="D365" s="18"/>
      <c r="E365" s="18"/>
      <c r="F365" s="18"/>
      <c r="G365" s="18"/>
      <c r="H365" s="550"/>
      <c r="I365" s="550"/>
      <c r="J365" s="550"/>
      <c r="K365" s="550"/>
      <c r="L365" s="550"/>
      <c r="M365" s="550"/>
      <c r="N365" s="18"/>
      <c r="O365" s="18"/>
      <c r="P365" s="18"/>
      <c r="Q365" s="18"/>
      <c r="R365" s="550"/>
      <c r="S365" s="468"/>
      <c r="T365" s="468"/>
      <c r="U365" s="468"/>
      <c r="V365" s="468"/>
      <c r="W365" s="551"/>
      <c r="X365" s="18"/>
    </row>
    <row r="366" spans="1:24" x14ac:dyDescent="0.15">
      <c r="A366" s="18"/>
      <c r="B366" s="18"/>
      <c r="C366" s="18"/>
      <c r="D366" s="18"/>
      <c r="E366" s="18"/>
      <c r="F366" s="18"/>
      <c r="G366" s="18"/>
      <c r="H366" s="550"/>
      <c r="I366" s="550"/>
      <c r="J366" s="550"/>
      <c r="K366" s="550"/>
      <c r="L366" s="550"/>
      <c r="M366" s="550"/>
      <c r="N366" s="18"/>
      <c r="O366" s="18"/>
      <c r="P366" s="18"/>
      <c r="Q366" s="18"/>
      <c r="R366" s="550"/>
      <c r="S366" s="468"/>
      <c r="T366" s="468"/>
      <c r="U366" s="468"/>
      <c r="V366" s="468"/>
      <c r="W366" s="551"/>
      <c r="X366" s="18"/>
    </row>
    <row r="367" spans="1:24" x14ac:dyDescent="0.15">
      <c r="A367" s="18"/>
      <c r="B367" s="18"/>
      <c r="C367" s="18"/>
      <c r="D367" s="18"/>
      <c r="E367" s="18"/>
      <c r="F367" s="18"/>
      <c r="G367" s="18"/>
      <c r="H367" s="550"/>
      <c r="I367" s="550"/>
      <c r="J367" s="550"/>
      <c r="K367" s="550"/>
      <c r="L367" s="550"/>
      <c r="M367" s="550"/>
      <c r="N367" s="18"/>
      <c r="O367" s="18"/>
      <c r="P367" s="18"/>
      <c r="Q367" s="18"/>
      <c r="R367" s="550"/>
      <c r="S367" s="468"/>
      <c r="T367" s="468"/>
      <c r="U367" s="468"/>
      <c r="V367" s="468"/>
      <c r="W367" s="551"/>
      <c r="X367" s="18"/>
    </row>
    <row r="368" spans="1:24" x14ac:dyDescent="0.15">
      <c r="A368" s="18"/>
      <c r="B368" s="18"/>
      <c r="C368" s="18"/>
      <c r="D368" s="18"/>
      <c r="E368" s="18"/>
      <c r="F368" s="18"/>
      <c r="G368" s="18"/>
      <c r="H368" s="550"/>
      <c r="I368" s="550"/>
      <c r="J368" s="550"/>
      <c r="K368" s="550"/>
      <c r="L368" s="550"/>
      <c r="M368" s="550"/>
      <c r="N368" s="18"/>
      <c r="O368" s="18"/>
      <c r="P368" s="18"/>
      <c r="Q368" s="18"/>
      <c r="R368" s="550"/>
      <c r="S368" s="468"/>
      <c r="T368" s="468"/>
      <c r="U368" s="468"/>
      <c r="V368" s="468"/>
      <c r="W368" s="551"/>
      <c r="X368" s="18"/>
    </row>
    <row r="369" spans="1:24" x14ac:dyDescent="0.15">
      <c r="A369" s="18"/>
      <c r="B369" s="18"/>
      <c r="C369" s="18"/>
      <c r="D369" s="18"/>
      <c r="E369" s="18"/>
      <c r="F369" s="18"/>
      <c r="G369" s="18"/>
      <c r="H369" s="550"/>
      <c r="I369" s="550"/>
      <c r="J369" s="550"/>
      <c r="K369" s="550"/>
      <c r="L369" s="550"/>
      <c r="M369" s="550"/>
      <c r="N369" s="18"/>
      <c r="O369" s="18"/>
      <c r="P369" s="18"/>
      <c r="Q369" s="18"/>
      <c r="R369" s="550"/>
      <c r="S369" s="468"/>
      <c r="T369" s="468"/>
      <c r="U369" s="468"/>
      <c r="V369" s="468"/>
      <c r="W369" s="551"/>
      <c r="X369" s="18"/>
    </row>
    <row r="370" spans="1:24" x14ac:dyDescent="0.15">
      <c r="A370" s="18"/>
      <c r="B370" s="18"/>
      <c r="C370" s="18"/>
      <c r="D370" s="18"/>
      <c r="E370" s="18"/>
      <c r="F370" s="18"/>
      <c r="G370" s="18"/>
      <c r="H370" s="550"/>
      <c r="I370" s="550"/>
      <c r="J370" s="550"/>
      <c r="K370" s="550"/>
      <c r="L370" s="550"/>
      <c r="M370" s="550"/>
      <c r="N370" s="18"/>
      <c r="O370" s="18"/>
      <c r="P370" s="18"/>
      <c r="Q370" s="18"/>
      <c r="R370" s="550"/>
      <c r="S370" s="468"/>
      <c r="T370" s="468"/>
      <c r="U370" s="468"/>
      <c r="V370" s="468"/>
      <c r="W370" s="551"/>
      <c r="X370" s="18"/>
    </row>
    <row r="371" spans="1:24" x14ac:dyDescent="0.15">
      <c r="A371" s="18"/>
      <c r="B371" s="18"/>
      <c r="C371" s="18"/>
      <c r="D371" s="18"/>
      <c r="E371" s="18"/>
      <c r="F371" s="18"/>
      <c r="G371" s="18"/>
      <c r="H371" s="550"/>
      <c r="I371" s="550"/>
      <c r="J371" s="550"/>
      <c r="K371" s="550"/>
      <c r="L371" s="550"/>
      <c r="M371" s="550"/>
      <c r="N371" s="18"/>
      <c r="O371" s="18"/>
      <c r="P371" s="18"/>
      <c r="Q371" s="18"/>
      <c r="R371" s="550"/>
      <c r="S371" s="468"/>
      <c r="T371" s="468"/>
      <c r="U371" s="468"/>
      <c r="V371" s="468"/>
      <c r="W371" s="551"/>
      <c r="X371" s="18"/>
    </row>
    <row r="372" spans="1:24" x14ac:dyDescent="0.15">
      <c r="A372" s="18"/>
      <c r="B372" s="18"/>
      <c r="C372" s="18"/>
      <c r="D372" s="18"/>
      <c r="E372" s="18"/>
      <c r="F372" s="18"/>
      <c r="G372" s="18"/>
      <c r="H372" s="550"/>
      <c r="I372" s="550"/>
      <c r="J372" s="550"/>
      <c r="K372" s="550"/>
      <c r="L372" s="550"/>
      <c r="M372" s="550"/>
      <c r="N372" s="18"/>
      <c r="O372" s="18"/>
      <c r="P372" s="18"/>
      <c r="Q372" s="18"/>
      <c r="R372" s="550"/>
      <c r="S372" s="468"/>
      <c r="T372" s="468"/>
      <c r="U372" s="468"/>
      <c r="V372" s="468"/>
      <c r="W372" s="551"/>
      <c r="X372" s="18"/>
    </row>
    <row r="373" spans="1:24" x14ac:dyDescent="0.15">
      <c r="A373" s="18"/>
      <c r="B373" s="18"/>
      <c r="C373" s="18"/>
      <c r="D373" s="18"/>
      <c r="E373" s="18"/>
      <c r="F373" s="18"/>
      <c r="G373" s="18"/>
      <c r="H373" s="550"/>
      <c r="I373" s="550"/>
      <c r="J373" s="550"/>
      <c r="K373" s="550"/>
      <c r="L373" s="550"/>
      <c r="M373" s="550"/>
      <c r="N373" s="18"/>
      <c r="O373" s="18"/>
      <c r="P373" s="18"/>
      <c r="Q373" s="18"/>
      <c r="R373" s="550"/>
      <c r="S373" s="468"/>
      <c r="T373" s="468"/>
      <c r="U373" s="468"/>
      <c r="V373" s="468"/>
      <c r="W373" s="551"/>
      <c r="X373" s="18"/>
    </row>
    <row r="374" spans="1:24" x14ac:dyDescent="0.15">
      <c r="A374" s="18"/>
      <c r="B374" s="18"/>
      <c r="C374" s="18"/>
      <c r="D374" s="18"/>
      <c r="E374" s="18"/>
      <c r="F374" s="18"/>
      <c r="G374" s="18"/>
      <c r="H374" s="550"/>
      <c r="I374" s="550"/>
      <c r="J374" s="550"/>
      <c r="K374" s="550"/>
      <c r="L374" s="550"/>
      <c r="M374" s="550"/>
      <c r="N374" s="18"/>
      <c r="O374" s="18"/>
      <c r="P374" s="18"/>
      <c r="Q374" s="18"/>
      <c r="R374" s="550"/>
      <c r="S374" s="468"/>
      <c r="T374" s="468"/>
      <c r="U374" s="468"/>
      <c r="V374" s="468"/>
      <c r="W374" s="551"/>
      <c r="X374" s="18"/>
    </row>
    <row r="375" spans="1:24" x14ac:dyDescent="0.15">
      <c r="A375" s="18"/>
      <c r="B375" s="18"/>
      <c r="C375" s="18"/>
      <c r="D375" s="18"/>
      <c r="E375" s="18"/>
      <c r="F375" s="18"/>
      <c r="G375" s="18"/>
      <c r="H375" s="550"/>
      <c r="I375" s="550"/>
      <c r="J375" s="550"/>
      <c r="K375" s="550"/>
      <c r="L375" s="550"/>
      <c r="M375" s="550"/>
      <c r="N375" s="18"/>
      <c r="O375" s="18"/>
      <c r="P375" s="18"/>
      <c r="Q375" s="18"/>
      <c r="R375" s="550"/>
      <c r="S375" s="468"/>
      <c r="T375" s="468"/>
      <c r="U375" s="468"/>
      <c r="V375" s="468"/>
      <c r="W375" s="551"/>
      <c r="X375" s="18"/>
    </row>
    <row r="376" spans="1:24" x14ac:dyDescent="0.15">
      <c r="A376" s="18"/>
      <c r="B376" s="18"/>
      <c r="C376" s="18"/>
      <c r="D376" s="18"/>
      <c r="E376" s="18"/>
      <c r="F376" s="18"/>
      <c r="G376" s="18"/>
      <c r="H376" s="550"/>
      <c r="I376" s="550"/>
      <c r="J376" s="550"/>
      <c r="K376" s="550"/>
      <c r="L376" s="550"/>
      <c r="M376" s="550"/>
      <c r="N376" s="18"/>
      <c r="O376" s="18"/>
      <c r="P376" s="18"/>
      <c r="Q376" s="18"/>
      <c r="R376" s="550"/>
      <c r="S376" s="468"/>
      <c r="T376" s="468"/>
      <c r="U376" s="468"/>
      <c r="V376" s="468"/>
      <c r="W376" s="551"/>
      <c r="X376" s="18"/>
    </row>
    <row r="377" spans="1:24" x14ac:dyDescent="0.15">
      <c r="A377" s="18"/>
      <c r="B377" s="18"/>
      <c r="C377" s="18"/>
      <c r="D377" s="18"/>
      <c r="E377" s="18"/>
      <c r="F377" s="18"/>
      <c r="G377" s="18"/>
      <c r="H377" s="550"/>
      <c r="I377" s="550"/>
      <c r="J377" s="550"/>
      <c r="K377" s="550"/>
      <c r="L377" s="550"/>
      <c r="M377" s="550"/>
      <c r="N377" s="18"/>
      <c r="O377" s="18"/>
      <c r="P377" s="18"/>
      <c r="Q377" s="18"/>
      <c r="R377" s="550"/>
      <c r="S377" s="468"/>
      <c r="T377" s="468"/>
      <c r="U377" s="468"/>
      <c r="V377" s="468"/>
      <c r="W377" s="551"/>
      <c r="X377" s="18"/>
    </row>
    <row r="378" spans="1:24" x14ac:dyDescent="0.15">
      <c r="A378" s="18"/>
      <c r="B378" s="18"/>
      <c r="C378" s="18"/>
      <c r="D378" s="18"/>
      <c r="E378" s="18"/>
      <c r="F378" s="18"/>
      <c r="G378" s="18"/>
      <c r="H378" s="550"/>
      <c r="I378" s="550"/>
      <c r="J378" s="550"/>
      <c r="K378" s="550"/>
      <c r="L378" s="550"/>
      <c r="M378" s="550"/>
      <c r="N378" s="18"/>
      <c r="O378" s="18"/>
      <c r="P378" s="18"/>
      <c r="Q378" s="18"/>
      <c r="R378" s="550"/>
      <c r="S378" s="468"/>
      <c r="T378" s="468"/>
      <c r="U378" s="468"/>
      <c r="V378" s="468"/>
      <c r="W378" s="551"/>
      <c r="X378" s="18"/>
    </row>
    <row r="379" spans="1:24" x14ac:dyDescent="0.15">
      <c r="A379" s="18"/>
      <c r="B379" s="18"/>
      <c r="C379" s="18"/>
      <c r="D379" s="18"/>
      <c r="E379" s="18"/>
      <c r="F379" s="18"/>
      <c r="G379" s="18"/>
      <c r="H379" s="550"/>
      <c r="I379" s="550"/>
      <c r="J379" s="550"/>
      <c r="K379" s="550"/>
      <c r="L379" s="550"/>
      <c r="M379" s="550"/>
      <c r="N379" s="18"/>
      <c r="O379" s="18"/>
      <c r="P379" s="18"/>
      <c r="Q379" s="18"/>
      <c r="R379" s="550"/>
      <c r="S379" s="468"/>
      <c r="T379" s="468"/>
      <c r="U379" s="468"/>
      <c r="V379" s="468"/>
      <c r="W379" s="551"/>
      <c r="X379" s="18"/>
    </row>
    <row r="380" spans="1:24" x14ac:dyDescent="0.15">
      <c r="A380" s="18"/>
      <c r="B380" s="18"/>
      <c r="C380" s="18"/>
      <c r="D380" s="18"/>
      <c r="E380" s="18"/>
      <c r="F380" s="18"/>
      <c r="G380" s="18"/>
      <c r="H380" s="550"/>
      <c r="I380" s="550"/>
      <c r="J380" s="550"/>
      <c r="K380" s="550"/>
      <c r="L380" s="550"/>
      <c r="M380" s="550"/>
      <c r="N380" s="18"/>
      <c r="O380" s="18"/>
      <c r="P380" s="18"/>
      <c r="Q380" s="18"/>
      <c r="R380" s="550"/>
      <c r="S380" s="468"/>
      <c r="T380" s="468"/>
      <c r="U380" s="468"/>
      <c r="V380" s="468"/>
      <c r="W380" s="551"/>
      <c r="X380" s="18"/>
    </row>
    <row r="381" spans="1:24" x14ac:dyDescent="0.15">
      <c r="A381" s="18"/>
      <c r="B381" s="18"/>
      <c r="C381" s="18"/>
      <c r="D381" s="18"/>
      <c r="E381" s="18"/>
      <c r="F381" s="18"/>
      <c r="G381" s="18"/>
      <c r="H381" s="550"/>
      <c r="I381" s="550"/>
      <c r="J381" s="550"/>
      <c r="K381" s="550"/>
      <c r="L381" s="550"/>
      <c r="M381" s="550"/>
      <c r="N381" s="18"/>
      <c r="O381" s="18"/>
      <c r="P381" s="18"/>
      <c r="Q381" s="18"/>
      <c r="R381" s="550"/>
      <c r="S381" s="468"/>
      <c r="T381" s="468"/>
      <c r="U381" s="468"/>
      <c r="V381" s="468"/>
      <c r="W381" s="551"/>
      <c r="X381" s="18"/>
    </row>
    <row r="382" spans="1:24" x14ac:dyDescent="0.15">
      <c r="A382" s="18"/>
      <c r="B382" s="18"/>
      <c r="C382" s="18"/>
      <c r="D382" s="18"/>
      <c r="E382" s="18"/>
      <c r="F382" s="18"/>
      <c r="G382" s="18"/>
      <c r="H382" s="550"/>
      <c r="I382" s="550"/>
      <c r="J382" s="550"/>
      <c r="K382" s="550"/>
      <c r="L382" s="550"/>
      <c r="M382" s="550"/>
      <c r="N382" s="18"/>
      <c r="O382" s="18"/>
      <c r="P382" s="18"/>
      <c r="Q382" s="18"/>
      <c r="R382" s="550"/>
      <c r="S382" s="468"/>
      <c r="T382" s="468"/>
      <c r="U382" s="468"/>
      <c r="V382" s="468"/>
      <c r="W382" s="551"/>
      <c r="X382" s="18"/>
    </row>
    <row r="383" spans="1:24" x14ac:dyDescent="0.15">
      <c r="A383" s="18"/>
      <c r="B383" s="18"/>
      <c r="C383" s="18"/>
      <c r="D383" s="18"/>
      <c r="E383" s="18"/>
      <c r="F383" s="18"/>
      <c r="G383" s="18"/>
      <c r="H383" s="550"/>
      <c r="I383" s="550"/>
      <c r="J383" s="550"/>
      <c r="K383" s="550"/>
      <c r="L383" s="550"/>
      <c r="M383" s="550"/>
      <c r="N383" s="18"/>
      <c r="O383" s="18"/>
      <c r="P383" s="18"/>
      <c r="Q383" s="18"/>
      <c r="R383" s="550"/>
      <c r="S383" s="468"/>
      <c r="T383" s="468"/>
      <c r="U383" s="468"/>
      <c r="V383" s="468"/>
      <c r="W383" s="551"/>
      <c r="X383" s="18"/>
    </row>
    <row r="384" spans="1:24" x14ac:dyDescent="0.15">
      <c r="A384" s="18"/>
      <c r="B384" s="18"/>
      <c r="C384" s="18"/>
      <c r="D384" s="18"/>
      <c r="E384" s="18"/>
      <c r="F384" s="18"/>
      <c r="G384" s="18"/>
      <c r="H384" s="550"/>
      <c r="I384" s="550"/>
      <c r="J384" s="550"/>
      <c r="K384" s="550"/>
      <c r="L384" s="550"/>
      <c r="M384" s="550"/>
      <c r="N384" s="18"/>
      <c r="O384" s="18"/>
      <c r="P384" s="18"/>
      <c r="Q384" s="18"/>
      <c r="R384" s="550"/>
      <c r="S384" s="468"/>
      <c r="T384" s="468"/>
      <c r="U384" s="468"/>
      <c r="V384" s="468"/>
      <c r="W384" s="551"/>
      <c r="X384" s="18"/>
    </row>
    <row r="385" spans="1:24" x14ac:dyDescent="0.15">
      <c r="A385" s="18"/>
      <c r="B385" s="18"/>
      <c r="C385" s="18"/>
      <c r="D385" s="18"/>
      <c r="E385" s="18"/>
      <c r="F385" s="18"/>
      <c r="G385" s="18"/>
      <c r="H385" s="550"/>
      <c r="I385" s="550"/>
      <c r="J385" s="550"/>
      <c r="K385" s="550"/>
      <c r="L385" s="550"/>
      <c r="M385" s="550"/>
      <c r="N385" s="18"/>
      <c r="O385" s="18"/>
      <c r="P385" s="18"/>
      <c r="Q385" s="18"/>
      <c r="R385" s="550"/>
      <c r="S385" s="468"/>
      <c r="T385" s="468"/>
      <c r="U385" s="468"/>
      <c r="V385" s="468"/>
      <c r="W385" s="551"/>
      <c r="X385" s="18"/>
    </row>
    <row r="386" spans="1:24" x14ac:dyDescent="0.15">
      <c r="A386" s="18"/>
      <c r="B386" s="18"/>
      <c r="C386" s="18"/>
      <c r="D386" s="18"/>
      <c r="E386" s="18"/>
      <c r="F386" s="18"/>
      <c r="G386" s="18"/>
      <c r="H386" s="550"/>
      <c r="I386" s="550"/>
      <c r="J386" s="550"/>
      <c r="K386" s="550"/>
      <c r="L386" s="550"/>
      <c r="M386" s="550"/>
      <c r="N386" s="18"/>
      <c r="O386" s="18"/>
      <c r="P386" s="18"/>
      <c r="Q386" s="18"/>
      <c r="R386" s="550"/>
      <c r="S386" s="468"/>
      <c r="T386" s="468"/>
      <c r="U386" s="468"/>
      <c r="V386" s="468"/>
      <c r="W386" s="551"/>
      <c r="X386" s="18"/>
    </row>
  </sheetData>
  <mergeCells count="3">
    <mergeCell ref="A334:W334"/>
    <mergeCell ref="A335:Q335"/>
    <mergeCell ref="A341:V341"/>
  </mergeCells>
  <pageMargins left="0.7" right="0.7" top="0.75" bottom="0.75" header="0.3" footer="0.3"/>
  <pageSetup scale="77" fitToHeight="0" orientation="landscape" r:id="rId1"/>
  <drawing r:id="rId2"/>
  <legacyDrawing r:id="rId3"/>
  <oleObjects>
    <mc:AlternateContent xmlns:mc="http://schemas.openxmlformats.org/markup-compatibility/2006">
      <mc:Choice Requires="x14">
        <oleObject progId="PBrush" shapeId="11266" r:id="rId4">
          <objectPr defaultSize="0" autoLine="0" autoPict="0" dde="1" r:id="rId5">
            <anchor moveWithCells="1">
              <from>
                <xdr:col>0</xdr:col>
                <xdr:colOff>215900</xdr:colOff>
                <xdr:row>1</xdr:row>
                <xdr:rowOff>50800</xdr:rowOff>
              </from>
              <to>
                <xdr:col>0</xdr:col>
                <xdr:colOff>1409700</xdr:colOff>
                <xdr:row>7</xdr:row>
                <xdr:rowOff>127000</xdr:rowOff>
              </to>
            </anchor>
          </objectPr>
        </oleObject>
      </mc:Choice>
      <mc:Fallback>
        <oleObject progId="PBrush" shapeId="1126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tint="4.9989318521683403E-2"/>
  </sheetPr>
  <dimension ref="A1:AL122"/>
  <sheetViews>
    <sheetView view="pageBreakPreview" zoomScaleSheetLayoutView="100" workbookViewId="0">
      <selection activeCell="C10" sqref="C10"/>
    </sheetView>
  </sheetViews>
  <sheetFormatPr baseColWidth="10" defaultColWidth="8.83203125" defaultRowHeight="11" outlineLevelRow="1" outlineLevelCol="1" x14ac:dyDescent="0.15"/>
  <cols>
    <col min="1" max="1" width="2.6640625" style="975" customWidth="1"/>
    <col min="2" max="2" width="31.5" style="973" customWidth="1"/>
    <col min="3" max="3" width="15.5" style="580" customWidth="1"/>
    <col min="4" max="4" width="11.33203125" style="581" customWidth="1"/>
    <col min="5" max="8" width="10.6640625" style="973" customWidth="1"/>
    <col min="9" max="9" width="12" style="973" customWidth="1"/>
    <col min="10" max="13" width="11.33203125" style="973" customWidth="1"/>
    <col min="14" max="14" width="14" style="973" customWidth="1"/>
    <col min="15" max="15" width="14.1640625" style="973" bestFit="1" customWidth="1"/>
    <col min="16" max="16" width="13.33203125" style="973" bestFit="1" customWidth="1"/>
    <col min="17" max="17" width="12.1640625" style="973" bestFit="1" customWidth="1"/>
    <col min="18" max="20" width="9.6640625" style="973" customWidth="1"/>
    <col min="21" max="22" width="9.6640625" style="973" customWidth="1" outlineLevel="1"/>
    <col min="23" max="35" width="9.5" style="973" customWidth="1" outlineLevel="1"/>
    <col min="36" max="36" width="11.1640625" style="973" bestFit="1" customWidth="1"/>
    <col min="37" max="16384" width="8.83203125" style="973"/>
  </cols>
  <sheetData>
    <row r="1" spans="1:35" ht="18" x14ac:dyDescent="0.2">
      <c r="B1" s="1107" t="str">
        <f>'Tax Increment Budget'!B1</f>
        <v>Millcreek Community Reinvestment Agency</v>
      </c>
      <c r="H1" s="1108"/>
      <c r="Q1" s="974"/>
      <c r="R1" s="974"/>
    </row>
    <row r="2" spans="1:35" x14ac:dyDescent="0.15">
      <c r="B2" s="973" t="str">
        <f>'Tax Increment Budget'!B2</f>
        <v>Millcreek Center CRA</v>
      </c>
      <c r="F2" s="573"/>
      <c r="H2" s="573"/>
      <c r="Q2" s="974"/>
      <c r="R2" s="974"/>
    </row>
    <row r="3" spans="1:35" x14ac:dyDescent="0.15">
      <c r="B3" s="973" t="str">
        <f>'[1]TaxInc Budget'!B3</f>
        <v>Increment and Budget Analysis</v>
      </c>
      <c r="H3" s="573"/>
    </row>
    <row r="4" spans="1:35" x14ac:dyDescent="0.15">
      <c r="B4" s="582" t="s">
        <v>1355</v>
      </c>
      <c r="H4" s="573"/>
    </row>
    <row r="5" spans="1:35" x14ac:dyDescent="0.15">
      <c r="B5" s="583" t="s">
        <v>27</v>
      </c>
      <c r="C5" s="571"/>
      <c r="D5" s="973"/>
      <c r="G5" s="974"/>
      <c r="H5" s="819"/>
      <c r="I5" s="974"/>
      <c r="J5" s="974"/>
      <c r="K5" s="974"/>
      <c r="L5" s="974"/>
      <c r="M5" s="974"/>
      <c r="N5" s="974"/>
      <c r="O5" s="974"/>
      <c r="P5" s="974"/>
      <c r="Q5" s="974"/>
      <c r="R5" s="974"/>
      <c r="S5" s="974"/>
      <c r="T5" s="584"/>
      <c r="U5" s="584"/>
      <c r="V5" s="584"/>
      <c r="W5" s="584"/>
      <c r="X5" s="584"/>
      <c r="Y5" s="584"/>
      <c r="Z5" s="584"/>
      <c r="AA5" s="584"/>
      <c r="AB5" s="584"/>
      <c r="AC5" s="584"/>
      <c r="AD5" s="584"/>
      <c r="AE5" s="584"/>
      <c r="AF5" s="584"/>
      <c r="AG5" s="584"/>
      <c r="AH5" s="584"/>
    </row>
    <row r="6" spans="1:35" x14ac:dyDescent="0.15">
      <c r="B6" s="585" t="s">
        <v>1264</v>
      </c>
      <c r="C6" s="586"/>
      <c r="D6" s="586"/>
      <c r="E6" s="587"/>
      <c r="F6" s="586"/>
      <c r="G6" s="588"/>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row>
    <row r="7" spans="1:35" s="576" customFormat="1" ht="12" thickBot="1" x14ac:dyDescent="0.2">
      <c r="A7" s="974"/>
      <c r="B7" s="1109"/>
      <c r="C7" s="1110"/>
      <c r="D7" s="590"/>
      <c r="E7" s="591"/>
      <c r="F7" s="590"/>
      <c r="G7" s="592"/>
      <c r="H7" s="602"/>
      <c r="I7" s="624"/>
      <c r="J7" s="624"/>
      <c r="K7" s="623"/>
      <c r="L7" s="974"/>
      <c r="M7" s="974"/>
      <c r="N7" s="974"/>
      <c r="O7" s="974"/>
      <c r="P7" s="1298"/>
      <c r="Q7" s="1298"/>
      <c r="R7" s="1111"/>
      <c r="S7" s="974"/>
      <c r="T7" s="974"/>
      <c r="U7" s="974"/>
      <c r="V7" s="974"/>
      <c r="W7" s="974"/>
      <c r="X7" s="974"/>
      <c r="Y7" s="974"/>
      <c r="Z7" s="974"/>
      <c r="AA7" s="974"/>
      <c r="AB7" s="974"/>
      <c r="AC7" s="974"/>
      <c r="AD7" s="974"/>
      <c r="AE7" s="974"/>
      <c r="AF7" s="974"/>
      <c r="AG7" s="974"/>
      <c r="AH7" s="974"/>
    </row>
    <row r="8" spans="1:35" s="576" customFormat="1" ht="24" customHeight="1" x14ac:dyDescent="0.15">
      <c r="A8" s="974"/>
      <c r="B8" s="974" t="s">
        <v>2056</v>
      </c>
      <c r="C8" s="1112">
        <f>'Parcel Info'!I250</f>
        <v>119.77400000000009</v>
      </c>
      <c r="D8" s="590"/>
      <c r="E8" s="1113"/>
      <c r="F8" s="1113" t="s">
        <v>2057</v>
      </c>
      <c r="G8" s="1114"/>
      <c r="H8" s="1113"/>
      <c r="I8" s="1113" t="s">
        <v>2058</v>
      </c>
      <c r="M8" s="974"/>
      <c r="N8" s="974"/>
      <c r="O8" s="974"/>
      <c r="P8" s="974"/>
      <c r="Q8" s="1115"/>
      <c r="R8" s="974"/>
      <c r="S8" s="974"/>
      <c r="T8" s="819"/>
      <c r="U8" s="974"/>
      <c r="V8" s="974"/>
      <c r="W8" s="974"/>
      <c r="X8" s="974"/>
      <c r="Y8" s="974"/>
      <c r="Z8" s="974"/>
      <c r="AA8" s="974"/>
      <c r="AB8" s="974"/>
      <c r="AC8" s="974"/>
      <c r="AD8" s="974"/>
      <c r="AE8" s="974"/>
      <c r="AF8" s="974"/>
      <c r="AG8" s="974"/>
      <c r="AH8" s="974"/>
    </row>
    <row r="9" spans="1:35" s="576" customFormat="1" ht="12" thickBot="1" x14ac:dyDescent="0.2">
      <c r="A9" s="974"/>
      <c r="B9" s="974" t="s">
        <v>2059</v>
      </c>
      <c r="C9" s="1116">
        <v>96.234660000000005</v>
      </c>
      <c r="D9" s="590"/>
      <c r="E9" s="974" t="s">
        <v>41</v>
      </c>
      <c r="F9" s="1117">
        <v>145</v>
      </c>
      <c r="G9" s="1118"/>
      <c r="H9" s="1119" t="s">
        <v>2060</v>
      </c>
      <c r="I9" s="1120">
        <v>325</v>
      </c>
      <c r="J9" s="772"/>
      <c r="M9" s="974"/>
      <c r="N9" s="974"/>
      <c r="O9" s="974"/>
      <c r="P9" s="974"/>
      <c r="Q9" s="1115"/>
      <c r="R9" s="974"/>
      <c r="S9" s="974"/>
      <c r="T9" s="974"/>
      <c r="U9" s="974"/>
      <c r="V9" s="974"/>
      <c r="W9" s="974"/>
      <c r="X9" s="974"/>
      <c r="Y9" s="974"/>
      <c r="Z9" s="974"/>
      <c r="AA9" s="974"/>
      <c r="AB9" s="974"/>
      <c r="AC9" s="974"/>
      <c r="AD9" s="974"/>
      <c r="AE9" s="974"/>
      <c r="AF9" s="974"/>
      <c r="AG9" s="974"/>
      <c r="AH9" s="974"/>
    </row>
    <row r="10" spans="1:35" s="576" customFormat="1" ht="12" thickBot="1" x14ac:dyDescent="0.2">
      <c r="A10" s="974"/>
      <c r="B10" s="1121" t="s">
        <v>2061</v>
      </c>
      <c r="C10" s="1122">
        <v>43560</v>
      </c>
      <c r="D10" s="590"/>
      <c r="E10" s="974" t="s">
        <v>1324</v>
      </c>
      <c r="F10" s="1117">
        <v>170</v>
      </c>
      <c r="G10" s="974"/>
      <c r="H10" s="1123"/>
      <c r="J10" s="772"/>
      <c r="M10" s="974"/>
      <c r="N10" s="974"/>
      <c r="O10" s="1124"/>
      <c r="P10" s="1124"/>
      <c r="Q10" s="1124"/>
      <c r="R10" s="1124"/>
      <c r="S10" s="1124"/>
      <c r="T10" s="1124"/>
      <c r="U10" s="1124"/>
      <c r="V10" s="1124"/>
      <c r="W10" s="1124"/>
      <c r="X10" s="1124"/>
      <c r="Y10" s="1124"/>
      <c r="Z10" s="1124"/>
      <c r="AA10" s="1124"/>
      <c r="AB10" s="1124"/>
      <c r="AC10" s="1124"/>
      <c r="AD10" s="1124"/>
      <c r="AE10" s="1124"/>
      <c r="AF10" s="1124"/>
      <c r="AG10" s="1124"/>
      <c r="AH10" s="1124"/>
    </row>
    <row r="11" spans="1:35" s="576" customFormat="1" ht="13.5" customHeight="1" x14ac:dyDescent="0.15">
      <c r="A11" s="974"/>
      <c r="B11" s="974"/>
      <c r="C11" s="598"/>
      <c r="D11" s="590"/>
      <c r="E11" s="974" t="s">
        <v>26</v>
      </c>
      <c r="F11" s="1117">
        <v>125</v>
      </c>
      <c r="G11" s="974"/>
      <c r="H11" s="1123"/>
      <c r="J11" s="772"/>
      <c r="M11" s="976"/>
      <c r="N11" s="1125"/>
      <c r="O11" s="976"/>
      <c r="P11" s="976"/>
      <c r="Q11" s="974"/>
      <c r="R11" s="974"/>
      <c r="S11" s="974"/>
      <c r="T11" s="974"/>
      <c r="U11" s="974"/>
      <c r="V11" s="974"/>
      <c r="W11" s="974"/>
      <c r="X11" s="974"/>
      <c r="Y11" s="974"/>
      <c r="Z11" s="974"/>
      <c r="AA11" s="974"/>
      <c r="AB11" s="974"/>
      <c r="AC11" s="974"/>
      <c r="AD11" s="974"/>
      <c r="AE11" s="974"/>
      <c r="AF11" s="974"/>
      <c r="AG11" s="974"/>
      <c r="AH11" s="974"/>
    </row>
    <row r="12" spans="1:35" s="576" customFormat="1" ht="13.5" customHeight="1" thickBot="1" x14ac:dyDescent="0.2">
      <c r="A12" s="974"/>
      <c r="B12" s="974"/>
      <c r="C12" s="598"/>
      <c r="D12" s="590"/>
      <c r="E12" s="1121" t="s">
        <v>1360</v>
      </c>
      <c r="F12" s="1126">
        <v>35</v>
      </c>
      <c r="G12" s="974"/>
      <c r="H12" s="1123"/>
      <c r="J12" s="772"/>
      <c r="M12" s="976"/>
      <c r="N12" s="1125"/>
      <c r="O12" s="976"/>
      <c r="P12" s="976"/>
      <c r="Q12" s="974"/>
      <c r="R12" s="974"/>
      <c r="S12" s="974"/>
      <c r="T12" s="974"/>
      <c r="U12" s="974"/>
      <c r="V12" s="974"/>
      <c r="W12" s="974"/>
      <c r="X12" s="974"/>
      <c r="Y12" s="974"/>
      <c r="Z12" s="974"/>
      <c r="AA12" s="974"/>
      <c r="AB12" s="974"/>
      <c r="AC12" s="974"/>
      <c r="AD12" s="974"/>
      <c r="AE12" s="974"/>
      <c r="AF12" s="974"/>
      <c r="AG12" s="974"/>
      <c r="AH12" s="974"/>
    </row>
    <row r="13" spans="1:35" s="576" customFormat="1" ht="13.5" customHeight="1" outlineLevel="1" x14ac:dyDescent="0.15">
      <c r="A13" s="974"/>
      <c r="B13" s="974"/>
      <c r="C13" s="1130"/>
      <c r="D13" s="1130"/>
      <c r="E13" s="1130"/>
      <c r="F13" s="1130"/>
      <c r="G13" s="1130"/>
      <c r="H13" s="1130"/>
      <c r="J13" s="624"/>
      <c r="K13" s="624"/>
      <c r="L13" s="974"/>
      <c r="M13" s="974"/>
      <c r="N13" s="865"/>
      <c r="O13" s="1127"/>
      <c r="P13" s="1127"/>
      <c r="Q13" s="1128"/>
      <c r="R13" s="1127"/>
      <c r="S13" s="1083"/>
      <c r="T13" s="1083"/>
      <c r="U13" s="1083"/>
      <c r="V13" s="1083"/>
      <c r="W13" s="1083"/>
      <c r="X13" s="1084"/>
      <c r="Y13" s="974"/>
      <c r="Z13" s="974"/>
      <c r="AA13" s="974"/>
      <c r="AB13" s="974"/>
      <c r="AC13" s="974"/>
      <c r="AD13" s="974"/>
      <c r="AE13" s="974"/>
      <c r="AF13" s="974"/>
      <c r="AG13" s="974"/>
      <c r="AH13" s="974"/>
    </row>
    <row r="14" spans="1:35" s="576" customFormat="1" ht="13.5" customHeight="1" outlineLevel="1" x14ac:dyDescent="0.15">
      <c r="A14" s="974"/>
      <c r="B14" s="856"/>
      <c r="C14" s="1131" t="s">
        <v>2062</v>
      </c>
      <c r="D14" s="1131" t="s">
        <v>26</v>
      </c>
      <c r="E14" s="1131" t="s">
        <v>2063</v>
      </c>
      <c r="F14" s="1131" t="s">
        <v>2064</v>
      </c>
      <c r="G14" s="1130"/>
      <c r="H14" s="1130"/>
      <c r="J14" s="624"/>
      <c r="K14" s="624"/>
      <c r="L14" s="1132"/>
      <c r="M14" s="974"/>
      <c r="N14" s="865"/>
      <c r="O14" s="1272"/>
      <c r="P14" s="1127"/>
      <c r="Q14" s="1128"/>
      <c r="R14" s="1127"/>
      <c r="S14" s="1083"/>
      <c r="T14" s="1083"/>
      <c r="U14" s="1083"/>
      <c r="V14" s="1083"/>
      <c r="W14" s="1083"/>
      <c r="X14" s="1084"/>
      <c r="Y14" s="974"/>
      <c r="Z14" s="974"/>
      <c r="AA14" s="974"/>
      <c r="AB14" s="974"/>
      <c r="AC14" s="974"/>
      <c r="AD14" s="974"/>
      <c r="AE14" s="974"/>
      <c r="AF14" s="974"/>
      <c r="AG14" s="974"/>
      <c r="AH14" s="974"/>
    </row>
    <row r="15" spans="1:35" s="576" customFormat="1" ht="12.75" customHeight="1" outlineLevel="1" x14ac:dyDescent="0.15">
      <c r="A15" s="974"/>
      <c r="B15" s="1133" t="s">
        <v>2065</v>
      </c>
      <c r="C15" s="1134">
        <v>0.1</v>
      </c>
      <c r="D15" s="1134">
        <v>0.35</v>
      </c>
      <c r="E15" s="1134">
        <v>0.25</v>
      </c>
      <c r="F15" s="1134">
        <v>0.3</v>
      </c>
      <c r="G15" s="1279"/>
      <c r="H15" s="624"/>
      <c r="L15" s="974"/>
      <c r="M15" s="974"/>
      <c r="N15" s="865"/>
      <c r="O15" s="1272"/>
      <c r="P15" s="1127"/>
      <c r="Q15" s="1128"/>
      <c r="R15" s="1127"/>
      <c r="S15" s="1083"/>
      <c r="T15" s="1083"/>
      <c r="U15" s="1083"/>
      <c r="V15" s="1083"/>
      <c r="W15" s="1083"/>
      <c r="X15" s="1084"/>
      <c r="Y15" s="974"/>
      <c r="Z15" s="974"/>
      <c r="AA15" s="974"/>
      <c r="AB15" s="974"/>
      <c r="AC15" s="974"/>
      <c r="AD15" s="974"/>
      <c r="AE15" s="974"/>
      <c r="AF15" s="974"/>
      <c r="AG15" s="974"/>
      <c r="AH15" s="974"/>
    </row>
    <row r="16" spans="1:35" s="576" customFormat="1" ht="12.75" customHeight="1" x14ac:dyDescent="0.15">
      <c r="A16" s="974"/>
      <c r="B16" s="1135"/>
      <c r="C16" s="1136"/>
      <c r="D16" s="590"/>
      <c r="E16" s="1135"/>
      <c r="F16" s="598"/>
      <c r="G16" s="1156"/>
      <c r="H16" s="624"/>
      <c r="L16" s="974"/>
      <c r="M16" s="974"/>
      <c r="N16" s="865"/>
      <c r="O16" s="1272"/>
      <c r="P16" s="1127"/>
      <c r="Q16" s="1128"/>
      <c r="R16" s="1127"/>
      <c r="S16" s="1083"/>
      <c r="T16" s="1083"/>
      <c r="U16" s="1083"/>
      <c r="V16" s="1083"/>
      <c r="W16" s="1083"/>
      <c r="X16" s="1084"/>
      <c r="Y16" s="974"/>
      <c r="Z16" s="974"/>
      <c r="AA16" s="974"/>
      <c r="AB16" s="974"/>
      <c r="AC16" s="974"/>
      <c r="AD16" s="974"/>
      <c r="AE16" s="974"/>
      <c r="AF16" s="974"/>
      <c r="AG16" s="974"/>
      <c r="AH16" s="974"/>
    </row>
    <row r="17" spans="1:34" s="576" customFormat="1" ht="22" x14ac:dyDescent="0.15">
      <c r="A17" s="974"/>
      <c r="B17" s="1137" t="s">
        <v>2066</v>
      </c>
      <c r="C17" s="1138" t="s">
        <v>2067</v>
      </c>
      <c r="D17" s="1138" t="s">
        <v>33</v>
      </c>
      <c r="E17" s="1138" t="s">
        <v>2068</v>
      </c>
      <c r="F17" s="1139" t="s">
        <v>2069</v>
      </c>
      <c r="G17" s="1138" t="s">
        <v>2070</v>
      </c>
      <c r="H17" s="1138" t="s">
        <v>2071</v>
      </c>
      <c r="L17" s="974"/>
      <c r="M17" s="974"/>
      <c r="N17" s="865"/>
      <c r="O17" s="1272"/>
      <c r="P17" s="1127"/>
      <c r="Q17" s="1128"/>
      <c r="R17" s="1127"/>
      <c r="S17" s="1083"/>
      <c r="T17" s="1083"/>
      <c r="U17" s="1083"/>
      <c r="V17" s="1083"/>
      <c r="W17" s="1083"/>
      <c r="X17" s="1084"/>
      <c r="Y17" s="974"/>
      <c r="Z17" s="974"/>
      <c r="AA17" s="974"/>
      <c r="AB17" s="974"/>
      <c r="AC17" s="974"/>
      <c r="AD17" s="974"/>
      <c r="AE17" s="974"/>
      <c r="AF17" s="974"/>
      <c r="AG17" s="974"/>
      <c r="AH17" s="974"/>
    </row>
    <row r="18" spans="1:34" s="576" customFormat="1" ht="12.75" customHeight="1" x14ac:dyDescent="0.15">
      <c r="A18" s="974"/>
      <c r="B18" s="1140" t="s">
        <v>2072</v>
      </c>
      <c r="C18" s="1141"/>
      <c r="D18" s="1142">
        <f>C9*F15</f>
        <v>28.870398000000002</v>
      </c>
      <c r="E18" s="1143"/>
      <c r="F18" s="1140"/>
      <c r="G18" s="1144"/>
      <c r="H18" s="1145"/>
      <c r="L18" s="974"/>
      <c r="M18" s="974"/>
      <c r="N18" s="865"/>
      <c r="O18" s="1272"/>
      <c r="P18" s="1127"/>
      <c r="Q18" s="1128"/>
      <c r="R18" s="1127"/>
      <c r="S18" s="1083"/>
      <c r="T18" s="1083"/>
      <c r="U18" s="1083"/>
      <c r="V18" s="1083"/>
      <c r="W18" s="1083"/>
      <c r="X18" s="1084"/>
      <c r="Y18" s="974"/>
      <c r="Z18" s="974"/>
      <c r="AA18" s="974"/>
      <c r="AB18" s="974"/>
      <c r="AC18" s="974"/>
      <c r="AD18" s="974"/>
      <c r="AE18" s="974"/>
      <c r="AF18" s="974"/>
      <c r="AG18" s="974"/>
      <c r="AH18" s="974"/>
    </row>
    <row r="19" spans="1:34" s="576" customFormat="1" ht="12.75" customHeight="1" x14ac:dyDescent="0.15">
      <c r="A19" s="974"/>
      <c r="B19" s="1135" t="s">
        <v>26</v>
      </c>
      <c r="C19" s="1146">
        <v>0.6</v>
      </c>
      <c r="D19" s="1147">
        <f>$D$18*C19</f>
        <v>17.322238800000001</v>
      </c>
      <c r="E19" s="772">
        <f>D19*$C$10</f>
        <v>754556.72212799999</v>
      </c>
      <c r="F19" s="1148">
        <v>20</v>
      </c>
      <c r="G19" s="592">
        <f>H19*C32</f>
        <v>346444.77600000007</v>
      </c>
      <c r="H19" s="1149">
        <f>F19*D19</f>
        <v>346.44477600000005</v>
      </c>
      <c r="L19" s="974"/>
      <c r="M19" s="974"/>
      <c r="N19" s="865"/>
      <c r="O19" s="1272"/>
      <c r="P19" s="1127"/>
      <c r="Q19" s="1128"/>
      <c r="R19" s="1127"/>
      <c r="S19" s="1083"/>
      <c r="T19" s="1083"/>
      <c r="U19" s="1083"/>
      <c r="V19" s="1083"/>
      <c r="W19" s="1083"/>
      <c r="X19" s="1084"/>
      <c r="Y19" s="974"/>
      <c r="Z19" s="974"/>
      <c r="AA19" s="974"/>
      <c r="AB19" s="974"/>
      <c r="AC19" s="974"/>
      <c r="AD19" s="974"/>
      <c r="AE19" s="974"/>
      <c r="AF19" s="974"/>
      <c r="AG19" s="974"/>
      <c r="AH19" s="974"/>
    </row>
    <row r="20" spans="1:34" s="576" customFormat="1" ht="12.75" customHeight="1" x14ac:dyDescent="0.15">
      <c r="A20" s="974"/>
      <c r="B20" s="1135" t="s">
        <v>1324</v>
      </c>
      <c r="C20" s="1146">
        <v>0.3</v>
      </c>
      <c r="D20" s="1147">
        <f>$D$18*C20</f>
        <v>8.6611194000000005</v>
      </c>
      <c r="E20" s="772">
        <f>D20*$C$10</f>
        <v>377278.361064</v>
      </c>
      <c r="F20" s="1150">
        <v>0.3</v>
      </c>
      <c r="G20" s="592">
        <f>F20*E20</f>
        <v>113183.5083192</v>
      </c>
      <c r="H20" s="624"/>
      <c r="L20" s="974"/>
      <c r="M20" s="974"/>
      <c r="N20" s="865"/>
      <c r="O20" s="1272"/>
      <c r="P20" s="1127"/>
      <c r="Q20" s="1128"/>
      <c r="R20" s="1127"/>
      <c r="S20" s="1083"/>
      <c r="T20" s="1083"/>
      <c r="U20" s="1083"/>
      <c r="V20" s="1083"/>
      <c r="W20" s="1083"/>
      <c r="X20" s="1084"/>
      <c r="Y20" s="974"/>
      <c r="Z20" s="974"/>
      <c r="AA20" s="974"/>
      <c r="AB20" s="974"/>
      <c r="AC20" s="974"/>
      <c r="AD20" s="974"/>
      <c r="AE20" s="974"/>
      <c r="AF20" s="974"/>
      <c r="AG20" s="974"/>
      <c r="AH20" s="974"/>
    </row>
    <row r="21" spans="1:34" s="576" customFormat="1" ht="12.75" customHeight="1" x14ac:dyDescent="0.15">
      <c r="A21" s="974"/>
      <c r="B21" s="1151" t="s">
        <v>41</v>
      </c>
      <c r="C21" s="1152">
        <v>0.1</v>
      </c>
      <c r="D21" s="1153">
        <f>$D$18*C21</f>
        <v>2.8870398000000002</v>
      </c>
      <c r="E21" s="1154">
        <f>D21*$C$10</f>
        <v>125759.45368800001</v>
      </c>
      <c r="F21" s="1155">
        <v>0.3</v>
      </c>
      <c r="G21" s="1156">
        <f>F21*E21</f>
        <v>37727.836106399998</v>
      </c>
      <c r="H21" s="1157"/>
      <c r="L21" s="974"/>
      <c r="M21" s="974"/>
      <c r="N21" s="865"/>
      <c r="O21" s="1272"/>
      <c r="P21" s="1127"/>
      <c r="Q21" s="1128"/>
      <c r="R21" s="1127"/>
      <c r="S21" s="1083"/>
      <c r="T21" s="1083"/>
      <c r="U21" s="1083"/>
      <c r="V21" s="1083"/>
      <c r="W21" s="1083"/>
      <c r="X21" s="1084"/>
      <c r="Y21" s="974"/>
      <c r="Z21" s="974"/>
      <c r="AA21" s="974"/>
      <c r="AB21" s="974"/>
      <c r="AC21" s="974"/>
      <c r="AD21" s="974"/>
      <c r="AE21" s="974"/>
      <c r="AF21" s="974"/>
      <c r="AG21" s="974"/>
      <c r="AH21" s="974"/>
    </row>
    <row r="22" spans="1:34" s="576" customFormat="1" ht="12.75" customHeight="1" x14ac:dyDescent="0.15">
      <c r="A22" s="974"/>
      <c r="B22" s="1135"/>
      <c r="C22" s="1136"/>
      <c r="D22" s="1158">
        <f>SUM(D19:D21)</f>
        <v>28.870398000000002</v>
      </c>
      <c r="E22" s="1159">
        <f>SUM(E19:E21)</f>
        <v>1257594.53688</v>
      </c>
      <c r="F22" s="598"/>
      <c r="G22" s="592">
        <f>SUM(G19:G21)</f>
        <v>497356.12042560009</v>
      </c>
      <c r="H22" s="624"/>
      <c r="L22" s="974"/>
      <c r="M22" s="974"/>
      <c r="N22" s="865"/>
      <c r="O22" s="1272"/>
      <c r="P22" s="1127"/>
      <c r="Q22" s="1128"/>
      <c r="R22" s="1127"/>
      <c r="S22" s="1083"/>
      <c r="T22" s="1083"/>
      <c r="U22" s="1083"/>
      <c r="V22" s="1083"/>
      <c r="W22" s="1083"/>
      <c r="X22" s="1084"/>
      <c r="Y22" s="974"/>
      <c r="Z22" s="974"/>
      <c r="AA22" s="974"/>
      <c r="AB22" s="974"/>
      <c r="AC22" s="974"/>
      <c r="AD22" s="974"/>
      <c r="AE22" s="974"/>
      <c r="AF22" s="974"/>
      <c r="AG22" s="974"/>
      <c r="AH22" s="974"/>
    </row>
    <row r="23" spans="1:34" s="576" customFormat="1" ht="12.75" customHeight="1" x14ac:dyDescent="0.15">
      <c r="A23" s="974"/>
      <c r="B23" s="1135"/>
      <c r="C23" s="1136"/>
      <c r="D23" s="590"/>
      <c r="E23" s="1135"/>
      <c r="F23" s="598"/>
      <c r="G23" s="592"/>
      <c r="H23" s="624"/>
      <c r="I23" s="1163">
        <f>G21+G27</f>
        <v>125759.45368800001</v>
      </c>
      <c r="J23" s="1280">
        <f>28000/I23</f>
        <v>0.22264727763103956</v>
      </c>
      <c r="L23" s="974"/>
      <c r="M23" s="974"/>
      <c r="N23" s="865"/>
      <c r="O23" s="1272"/>
      <c r="P23" s="1127"/>
      <c r="Q23" s="1128"/>
      <c r="R23" s="1127"/>
      <c r="S23" s="1083"/>
      <c r="T23" s="1083"/>
      <c r="U23" s="1083"/>
      <c r="V23" s="1083"/>
      <c r="W23" s="1083"/>
      <c r="X23" s="1084"/>
      <c r="Y23" s="974"/>
      <c r="Z23" s="974"/>
      <c r="AA23" s="974"/>
      <c r="AB23" s="974"/>
      <c r="AC23" s="974"/>
      <c r="AD23" s="974"/>
      <c r="AE23" s="974"/>
      <c r="AF23" s="974"/>
      <c r="AG23" s="974"/>
      <c r="AH23" s="974"/>
    </row>
    <row r="24" spans="1:34" s="576" customFormat="1" ht="22" x14ac:dyDescent="0.15">
      <c r="A24" s="974"/>
      <c r="B24" s="1137" t="s">
        <v>2073</v>
      </c>
      <c r="C24" s="1138" t="s">
        <v>2067</v>
      </c>
      <c r="D24" s="1138" t="s">
        <v>33</v>
      </c>
      <c r="E24" s="1138" t="s">
        <v>2068</v>
      </c>
      <c r="F24" s="1139" t="s">
        <v>2069</v>
      </c>
      <c r="G24" s="1138" t="s">
        <v>2070</v>
      </c>
      <c r="H24" s="866"/>
      <c r="L24" s="974"/>
      <c r="M24" s="974"/>
      <c r="N24" s="865"/>
      <c r="O24" s="1272"/>
      <c r="P24" s="1127"/>
      <c r="Q24" s="1128"/>
      <c r="R24" s="1127"/>
      <c r="S24" s="1083"/>
      <c r="T24" s="1083"/>
      <c r="U24" s="1083"/>
      <c r="V24" s="1083"/>
      <c r="W24" s="1083"/>
      <c r="X24" s="1084"/>
      <c r="Y24" s="974"/>
      <c r="Z24" s="974"/>
      <c r="AA24" s="974"/>
      <c r="AB24" s="974"/>
      <c r="AC24" s="974"/>
      <c r="AD24" s="974"/>
      <c r="AE24" s="974"/>
      <c r="AF24" s="974"/>
      <c r="AG24" s="974"/>
      <c r="AH24" s="974"/>
    </row>
    <row r="25" spans="1:34" s="576" customFormat="1" x14ac:dyDescent="0.15">
      <c r="A25" s="974"/>
      <c r="B25" s="1140" t="s">
        <v>2074</v>
      </c>
      <c r="C25" s="1141"/>
      <c r="D25" s="1142">
        <f>(C15+E15)*C9</f>
        <v>33.682130999999998</v>
      </c>
      <c r="E25" s="1143"/>
      <c r="F25" s="1140"/>
      <c r="G25" s="1144"/>
      <c r="H25" s="1160"/>
      <c r="L25" s="974"/>
      <c r="M25" s="974"/>
      <c r="N25" s="865"/>
      <c r="O25" s="1272"/>
      <c r="P25" s="1127"/>
      <c r="Q25" s="1128"/>
      <c r="R25" s="1127"/>
      <c r="S25" s="1083"/>
      <c r="T25" s="1083"/>
      <c r="U25" s="1083"/>
      <c r="V25" s="1083"/>
      <c r="W25" s="1083"/>
      <c r="X25" s="1084"/>
      <c r="Y25" s="974"/>
      <c r="Z25" s="974"/>
      <c r="AA25" s="974"/>
      <c r="AB25" s="974"/>
      <c r="AC25" s="974"/>
      <c r="AD25" s="974"/>
      <c r="AE25" s="974"/>
      <c r="AF25" s="974"/>
      <c r="AG25" s="974"/>
      <c r="AH25" s="974"/>
    </row>
    <row r="26" spans="1:34" s="576" customFormat="1" ht="12.75" customHeight="1" x14ac:dyDescent="0.15">
      <c r="A26" s="974"/>
      <c r="B26" s="1135" t="s">
        <v>1324</v>
      </c>
      <c r="C26" s="1146">
        <v>0.8</v>
      </c>
      <c r="D26" s="1147">
        <f>$D$25*C26</f>
        <v>26.945704800000001</v>
      </c>
      <c r="E26" s="772">
        <f>D26*$C$10</f>
        <v>1173754.901088</v>
      </c>
      <c r="F26" s="1150">
        <v>0.3</v>
      </c>
      <c r="G26" s="592">
        <f>F26*E26</f>
        <v>352126.47032640001</v>
      </c>
      <c r="H26" s="624"/>
      <c r="L26" s="974"/>
      <c r="M26" s="974"/>
      <c r="N26" s="865"/>
      <c r="O26" s="1272"/>
      <c r="P26" s="1127"/>
      <c r="Q26" s="1128"/>
      <c r="R26" s="1127"/>
      <c r="S26" s="1083"/>
      <c r="T26" s="1083"/>
      <c r="U26" s="1083"/>
      <c r="V26" s="1083"/>
      <c r="W26" s="1083"/>
      <c r="X26" s="1084"/>
      <c r="Y26" s="974"/>
      <c r="Z26" s="974"/>
      <c r="AA26" s="974"/>
      <c r="AB26" s="974"/>
      <c r="AC26" s="974"/>
      <c r="AD26" s="974"/>
      <c r="AE26" s="974"/>
      <c r="AF26" s="974"/>
      <c r="AG26" s="974"/>
      <c r="AH26" s="974"/>
    </row>
    <row r="27" spans="1:34" s="576" customFormat="1" ht="12.75" customHeight="1" x14ac:dyDescent="0.15">
      <c r="A27" s="974"/>
      <c r="B27" s="1151" t="s">
        <v>41</v>
      </c>
      <c r="C27" s="1152">
        <v>0.2</v>
      </c>
      <c r="D27" s="1153">
        <f>$D$25*C27</f>
        <v>6.7364262000000004</v>
      </c>
      <c r="E27" s="1154">
        <f>D27*$C$10</f>
        <v>293438.72527200001</v>
      </c>
      <c r="F27" s="1155">
        <f>F21</f>
        <v>0.3</v>
      </c>
      <c r="G27" s="1156">
        <f>F27*E27</f>
        <v>88031.617581600003</v>
      </c>
      <c r="H27" s="624"/>
      <c r="L27" s="974"/>
      <c r="M27" s="974"/>
      <c r="N27" s="865"/>
      <c r="O27" s="1272"/>
      <c r="P27" s="1127"/>
      <c r="Q27" s="1128"/>
      <c r="R27" s="1127"/>
      <c r="S27" s="1083"/>
      <c r="T27" s="1083"/>
      <c r="U27" s="1083"/>
      <c r="V27" s="1083"/>
      <c r="W27" s="1083"/>
      <c r="X27" s="1084"/>
      <c r="Y27" s="974"/>
      <c r="Z27" s="974"/>
      <c r="AA27" s="974"/>
      <c r="AB27" s="974"/>
      <c r="AC27" s="974"/>
      <c r="AD27" s="974"/>
      <c r="AE27" s="974"/>
      <c r="AF27" s="974"/>
      <c r="AG27" s="974"/>
      <c r="AH27" s="974"/>
    </row>
    <row r="28" spans="1:34" s="576" customFormat="1" ht="12.75" customHeight="1" x14ac:dyDescent="0.15">
      <c r="A28" s="974"/>
      <c r="B28" s="1135"/>
      <c r="C28" s="1136"/>
      <c r="D28" s="1158">
        <f>SUM(D26:D27)</f>
        <v>33.682130999999998</v>
      </c>
      <c r="E28" s="1135"/>
      <c r="F28" s="598"/>
      <c r="G28" s="592">
        <f>SUM(G26:G27)</f>
        <v>440158.08790799999</v>
      </c>
      <c r="H28" s="624"/>
      <c r="L28" s="974"/>
      <c r="M28" s="974"/>
      <c r="N28" s="865"/>
      <c r="O28" s="1273"/>
      <c r="P28" s="1127"/>
      <c r="Q28" s="1128"/>
      <c r="R28" s="1127"/>
      <c r="S28" s="1083"/>
      <c r="T28" s="1083"/>
      <c r="U28" s="1083"/>
      <c r="V28" s="1083"/>
      <c r="W28" s="1083"/>
      <c r="X28" s="1084"/>
      <c r="Y28" s="974"/>
      <c r="Z28" s="974"/>
      <c r="AA28" s="974"/>
      <c r="AB28" s="974"/>
      <c r="AC28" s="974"/>
      <c r="AD28" s="974"/>
      <c r="AE28" s="974"/>
      <c r="AF28" s="974"/>
      <c r="AG28" s="974"/>
      <c r="AH28" s="974"/>
    </row>
    <row r="29" spans="1:34" s="576" customFormat="1" ht="24" customHeight="1" x14ac:dyDescent="0.15">
      <c r="A29" s="974"/>
      <c r="B29" s="1137" t="s">
        <v>2075</v>
      </c>
      <c r="C29" s="1138" t="s">
        <v>33</v>
      </c>
      <c r="D29" s="1138" t="s">
        <v>2068</v>
      </c>
      <c r="E29" s="1139" t="s">
        <v>2069</v>
      </c>
      <c r="F29" s="1138" t="s">
        <v>2070</v>
      </c>
      <c r="G29" s="1138" t="s">
        <v>2071</v>
      </c>
      <c r="H29" s="624"/>
      <c r="L29" s="974"/>
      <c r="M29" s="974"/>
      <c r="N29" s="865"/>
      <c r="O29" s="1127"/>
      <c r="P29" s="1127"/>
      <c r="Q29" s="1128"/>
      <c r="R29" s="1127"/>
      <c r="S29" s="1083"/>
      <c r="T29" s="1083"/>
      <c r="U29" s="1083"/>
      <c r="V29" s="1083"/>
      <c r="W29" s="1083"/>
      <c r="X29" s="1084"/>
      <c r="Y29" s="974"/>
      <c r="Z29" s="974"/>
      <c r="AA29" s="974"/>
      <c r="AB29" s="974"/>
      <c r="AC29" s="974"/>
      <c r="AD29" s="974"/>
      <c r="AE29" s="974"/>
      <c r="AF29" s="974"/>
      <c r="AG29" s="974"/>
      <c r="AH29" s="974"/>
    </row>
    <row r="30" spans="1:34" s="576" customFormat="1" ht="12.75" customHeight="1" x14ac:dyDescent="0.15">
      <c r="A30" s="974"/>
      <c r="B30" s="864" t="s">
        <v>26</v>
      </c>
      <c r="C30" s="1161">
        <f>D15*C9</f>
        <v>33.682130999999998</v>
      </c>
      <c r="D30" s="592">
        <f>C30*$C$10</f>
        <v>1467193.6263599999</v>
      </c>
      <c r="E30" s="1162">
        <v>20</v>
      </c>
      <c r="F30" s="592">
        <f>G30*C32</f>
        <v>673642.62</v>
      </c>
      <c r="G30" s="1149">
        <f>E30*C30</f>
        <v>673.64261999999997</v>
      </c>
      <c r="H30" s="624"/>
      <c r="I30" s="1163">
        <f>G30+H19</f>
        <v>1020.087396</v>
      </c>
      <c r="L30" s="974"/>
      <c r="M30" s="974"/>
      <c r="N30" s="865"/>
      <c r="O30" s="1127"/>
      <c r="P30" s="1127"/>
      <c r="Q30" s="1128"/>
      <c r="R30" s="1127"/>
      <c r="S30" s="1083"/>
      <c r="T30" s="1083"/>
      <c r="U30" s="1083"/>
      <c r="V30" s="1083"/>
      <c r="W30" s="1083"/>
      <c r="X30" s="1084"/>
      <c r="Y30" s="974"/>
      <c r="Z30" s="974"/>
      <c r="AA30" s="974"/>
      <c r="AB30" s="974"/>
      <c r="AC30" s="974"/>
      <c r="AD30" s="974"/>
      <c r="AE30" s="974"/>
      <c r="AF30" s="974"/>
      <c r="AG30" s="974"/>
      <c r="AH30" s="974"/>
    </row>
    <row r="31" spans="1:34" s="576" customFormat="1" ht="12.75" customHeight="1" x14ac:dyDescent="0.15">
      <c r="A31" s="974"/>
      <c r="B31" s="1135"/>
      <c r="C31" s="1136"/>
      <c r="D31" s="590"/>
      <c r="E31" s="1135"/>
      <c r="F31" s="598"/>
      <c r="G31" s="592"/>
      <c r="H31" s="624"/>
      <c r="L31" s="974"/>
      <c r="M31" s="974"/>
      <c r="N31" s="865"/>
      <c r="O31" s="1127"/>
      <c r="P31" s="1127"/>
      <c r="Q31" s="1128"/>
      <c r="R31" s="1127"/>
      <c r="S31" s="1083"/>
      <c r="T31" s="1083"/>
      <c r="U31" s="1083"/>
      <c r="V31" s="1083"/>
      <c r="W31" s="1083"/>
      <c r="X31" s="1084"/>
      <c r="Y31" s="974"/>
      <c r="Z31" s="974"/>
      <c r="AA31" s="974"/>
      <c r="AB31" s="974"/>
      <c r="AC31" s="974"/>
      <c r="AD31" s="974"/>
      <c r="AE31" s="974"/>
      <c r="AF31" s="974"/>
      <c r="AG31" s="974"/>
      <c r="AH31" s="974"/>
    </row>
    <row r="32" spans="1:34" s="576" customFormat="1" ht="12.75" customHeight="1" x14ac:dyDescent="0.15">
      <c r="A32" s="974"/>
      <c r="B32" s="1165" t="s">
        <v>2076</v>
      </c>
      <c r="C32" s="1166">
        <v>1000</v>
      </c>
      <c r="D32" s="1167"/>
      <c r="E32" s="1167"/>
      <c r="F32" s="1168"/>
      <c r="G32" s="1168"/>
      <c r="J32" s="1169"/>
      <c r="K32" s="974"/>
      <c r="L32" s="974"/>
      <c r="M32" s="974"/>
      <c r="N32" s="865"/>
      <c r="O32" s="1127"/>
      <c r="P32" s="1127"/>
      <c r="Q32" s="1128"/>
      <c r="R32" s="1127"/>
      <c r="S32" s="1083"/>
      <c r="T32" s="1083"/>
      <c r="U32" s="1083"/>
      <c r="V32" s="1083"/>
      <c r="W32" s="1083"/>
      <c r="X32" s="1084"/>
      <c r="Y32" s="974"/>
      <c r="Z32" s="974"/>
      <c r="AA32" s="974"/>
      <c r="AB32" s="974"/>
      <c r="AC32" s="974"/>
      <c r="AD32" s="974"/>
      <c r="AE32" s="974"/>
      <c r="AF32" s="974"/>
      <c r="AG32" s="974"/>
      <c r="AH32" s="974"/>
    </row>
    <row r="33" spans="1:38" s="576" customFormat="1" ht="26.25" customHeight="1" thickBot="1" x14ac:dyDescent="0.2">
      <c r="A33" s="974"/>
      <c r="B33" s="1170" t="s">
        <v>2077</v>
      </c>
      <c r="C33" s="1171"/>
      <c r="D33" s="1171"/>
      <c r="E33" s="1171"/>
      <c r="F33" s="1170"/>
      <c r="G33" s="1274"/>
      <c r="L33" s="974"/>
      <c r="M33" s="974"/>
      <c r="N33" s="865"/>
      <c r="O33" s="1127"/>
      <c r="P33" s="1127"/>
      <c r="Q33" s="1128"/>
      <c r="R33" s="1127"/>
      <c r="S33" s="1083"/>
      <c r="T33" s="1083"/>
      <c r="U33" s="1083"/>
      <c r="V33" s="1083"/>
      <c r="W33" s="1083"/>
      <c r="X33" s="1084"/>
      <c r="Y33" s="974"/>
      <c r="Z33" s="974"/>
      <c r="AA33" s="1299"/>
      <c r="AB33" s="1299"/>
      <c r="AC33" s="1299"/>
      <c r="AD33" s="1299"/>
      <c r="AE33" s="1299"/>
      <c r="AF33" s="974"/>
    </row>
    <row r="34" spans="1:38" s="576" customFormat="1" x14ac:dyDescent="0.15">
      <c r="A34" s="974"/>
      <c r="B34" s="1172"/>
      <c r="C34" s="1113" t="s">
        <v>41</v>
      </c>
      <c r="D34" s="1173" t="s">
        <v>1324</v>
      </c>
      <c r="E34" s="1173" t="s">
        <v>26</v>
      </c>
      <c r="F34" s="1174" t="s">
        <v>13</v>
      </c>
      <c r="G34" s="1275"/>
      <c r="L34" s="974"/>
      <c r="M34" s="974"/>
      <c r="N34" s="865"/>
      <c r="O34" s="1127"/>
      <c r="P34" s="1127"/>
      <c r="Q34" s="1128"/>
      <c r="R34" s="1127"/>
      <c r="S34" s="1083"/>
      <c r="T34" s="1083"/>
      <c r="U34" s="1083"/>
      <c r="V34" s="1083"/>
      <c r="W34" s="1083"/>
      <c r="X34" s="1084"/>
      <c r="Y34" s="974"/>
      <c r="Z34" s="974"/>
      <c r="AA34" s="590"/>
      <c r="AB34" s="591"/>
      <c r="AC34" s="591"/>
      <c r="AD34" s="591"/>
      <c r="AE34" s="591"/>
      <c r="AF34" s="591"/>
    </row>
    <row r="35" spans="1:38" s="576" customFormat="1" x14ac:dyDescent="0.15">
      <c r="A35" s="974"/>
      <c r="B35" s="1175" t="s">
        <v>2078</v>
      </c>
      <c r="C35" s="1176">
        <f>D27+D21</f>
        <v>9.6234660000000005</v>
      </c>
      <c r="D35" s="1177">
        <f>D26+D20</f>
        <v>35.606824200000005</v>
      </c>
      <c r="E35" s="1177">
        <f>C30+D19</f>
        <v>51.004369799999999</v>
      </c>
      <c r="F35" s="1178">
        <f>SUM(B35:E35)</f>
        <v>96.234660000000005</v>
      </c>
      <c r="G35" s="1276"/>
      <c r="L35" s="974"/>
      <c r="M35" s="974"/>
      <c r="N35" s="865"/>
      <c r="O35" s="1127"/>
      <c r="P35" s="1127"/>
      <c r="Q35" s="1128"/>
      <c r="R35" s="1127"/>
      <c r="S35" s="1083"/>
      <c r="T35" s="1083"/>
      <c r="U35" s="1083"/>
      <c r="V35" s="1083"/>
      <c r="W35" s="1083"/>
      <c r="X35" s="1084"/>
      <c r="Y35" s="974"/>
      <c r="Z35" s="974"/>
      <c r="AA35" s="590"/>
      <c r="AB35" s="591"/>
      <c r="AC35" s="591"/>
      <c r="AD35" s="591"/>
      <c r="AE35" s="591"/>
      <c r="AF35" s="591"/>
    </row>
    <row r="36" spans="1:38" s="576" customFormat="1" x14ac:dyDescent="0.15">
      <c r="A36" s="974"/>
      <c r="B36" s="1179" t="s">
        <v>2079</v>
      </c>
      <c r="C36" s="1180">
        <f>G21+G27</f>
        <v>125759.45368800001</v>
      </c>
      <c r="D36" s="1181">
        <f>G20+G26</f>
        <v>465309.97864560003</v>
      </c>
      <c r="E36" s="1182">
        <f>F30+G19</f>
        <v>1020087.3960000001</v>
      </c>
      <c r="F36" s="1183">
        <f>SUM(B36:E36)</f>
        <v>1611156.8283336</v>
      </c>
      <c r="G36" s="1277"/>
      <c r="I36" s="974"/>
      <c r="L36" s="974"/>
      <c r="M36" s="974"/>
      <c r="N36" s="865"/>
      <c r="O36" s="1127"/>
      <c r="P36" s="1127"/>
      <c r="Q36" s="1128"/>
      <c r="R36" s="1127"/>
      <c r="S36" s="1083"/>
      <c r="T36" s="1083"/>
      <c r="U36" s="1083"/>
      <c r="V36" s="1083"/>
      <c r="W36" s="1083"/>
      <c r="X36" s="1084"/>
      <c r="Z36" s="974"/>
      <c r="AA36" s="974"/>
      <c r="AB36" s="974"/>
      <c r="AC36" s="974"/>
      <c r="AD36" s="974"/>
      <c r="AE36" s="974"/>
      <c r="AF36" s="974"/>
    </row>
    <row r="37" spans="1:38" s="576" customFormat="1" x14ac:dyDescent="0.15">
      <c r="A37" s="974"/>
      <c r="B37" s="1184" t="s">
        <v>2080</v>
      </c>
      <c r="C37" s="1185">
        <f>C36/$F$36</f>
        <v>7.8055377028734996E-2</v>
      </c>
      <c r="D37" s="1185">
        <f>D36/$F$36</f>
        <v>0.28880489500631945</v>
      </c>
      <c r="E37" s="1185">
        <f>E36/$F$36</f>
        <v>0.63313972796494566</v>
      </c>
      <c r="F37" s="1186">
        <f>SUM(B37:E37)</f>
        <v>1</v>
      </c>
      <c r="G37" s="1278"/>
      <c r="L37" s="974"/>
      <c r="M37" s="974"/>
      <c r="N37" s="865"/>
      <c r="O37" s="1127"/>
      <c r="P37" s="1127"/>
      <c r="Q37" s="1128"/>
      <c r="R37" s="1127"/>
      <c r="S37" s="1083"/>
      <c r="T37" s="1083"/>
      <c r="U37" s="1083"/>
      <c r="V37" s="1083"/>
      <c r="W37" s="1083"/>
      <c r="X37" s="1084"/>
      <c r="Z37" s="974"/>
      <c r="AA37" s="974"/>
      <c r="AB37" s="974"/>
      <c r="AC37" s="974"/>
      <c r="AD37" s="974"/>
      <c r="AE37" s="974"/>
      <c r="AF37" s="974"/>
    </row>
    <row r="38" spans="1:38" s="576" customFormat="1" hidden="1" outlineLevel="1" x14ac:dyDescent="0.15">
      <c r="A38" s="974"/>
      <c r="B38" s="836" t="s">
        <v>2081</v>
      </c>
      <c r="D38" s="1187"/>
      <c r="E38" s="1187" t="e">
        <f>(#REF!)*E39</f>
        <v>#REF!</v>
      </c>
      <c r="F38" s="1188"/>
      <c r="G38" s="1189"/>
      <c r="L38" s="974"/>
      <c r="M38" s="974"/>
      <c r="N38" s="865"/>
      <c r="O38" s="1127"/>
      <c r="P38" s="1127"/>
      <c r="Q38" s="1128"/>
      <c r="R38" s="1127"/>
      <c r="S38" s="1083"/>
      <c r="T38" s="1083"/>
      <c r="U38" s="1083"/>
      <c r="V38" s="1083"/>
      <c r="W38" s="1083"/>
      <c r="X38" s="1084"/>
      <c r="Z38" s="974"/>
      <c r="AA38" s="974"/>
      <c r="AB38" s="974"/>
      <c r="AC38" s="974"/>
      <c r="AD38" s="974"/>
      <c r="AE38" s="974"/>
      <c r="AF38" s="974"/>
    </row>
    <row r="39" spans="1:38" s="576" customFormat="1" hidden="1" outlineLevel="1" x14ac:dyDescent="0.15">
      <c r="A39" s="974"/>
      <c r="B39" s="836" t="s">
        <v>2082</v>
      </c>
      <c r="C39" s="1190">
        <f>F9</f>
        <v>145</v>
      </c>
      <c r="D39" s="1190">
        <f>F10</f>
        <v>170</v>
      </c>
      <c r="E39" s="1190">
        <f>F10</f>
        <v>170</v>
      </c>
      <c r="F39" s="1191"/>
      <c r="G39" s="1192"/>
      <c r="H39" s="1193" t="s">
        <v>2083</v>
      </c>
      <c r="I39" s="604"/>
      <c r="J39" s="604"/>
      <c r="K39" s="605"/>
      <c r="L39" s="867"/>
      <c r="M39" s="1194"/>
      <c r="N39" s="865"/>
      <c r="O39" s="1127"/>
      <c r="P39" s="1127"/>
      <c r="Q39" s="1128"/>
      <c r="R39" s="1127"/>
      <c r="S39" s="1083"/>
      <c r="T39" s="1083"/>
      <c r="U39" s="1083"/>
      <c r="V39" s="1083"/>
      <c r="W39" s="1083"/>
      <c r="X39" s="1084"/>
      <c r="Y39" s="974"/>
      <c r="Z39" s="974"/>
      <c r="AA39" s="974"/>
      <c r="AB39" s="974"/>
      <c r="AC39" s="974"/>
      <c r="AD39" s="974"/>
      <c r="AE39" s="974"/>
      <c r="AF39" s="974"/>
      <c r="AG39" s="974"/>
      <c r="AH39" s="974"/>
    </row>
    <row r="40" spans="1:38" s="576" customFormat="1" hidden="1" outlineLevel="1" x14ac:dyDescent="0.15">
      <c r="A40" s="974"/>
      <c r="B40" s="836" t="s">
        <v>2084</v>
      </c>
      <c r="C40" s="1195" t="e">
        <f>C51</f>
        <v>#REF!</v>
      </c>
      <c r="D40" s="1195" t="e">
        <f>C52</f>
        <v>#REF!</v>
      </c>
      <c r="E40" s="1195" t="e">
        <f>C53</f>
        <v>#REF!</v>
      </c>
      <c r="F40" s="1188"/>
      <c r="G40" s="1196"/>
      <c r="H40" s="576">
        <v>11</v>
      </c>
      <c r="I40" s="974"/>
      <c r="L40" s="974"/>
      <c r="M40" s="1189"/>
      <c r="N40" s="865"/>
      <c r="O40" s="1127"/>
      <c r="P40" s="1127"/>
      <c r="Q40" s="1128"/>
      <c r="R40" s="1127"/>
      <c r="S40" s="1083"/>
      <c r="T40" s="1083"/>
      <c r="U40" s="1083"/>
      <c r="V40" s="1083"/>
      <c r="W40" s="1083"/>
      <c r="X40" s="1084"/>
      <c r="Y40" s="974"/>
      <c r="Z40" s="974"/>
      <c r="AA40" s="974"/>
      <c r="AB40" s="974"/>
      <c r="AC40" s="974"/>
      <c r="AD40" s="974"/>
      <c r="AE40" s="974"/>
      <c r="AF40" s="974"/>
      <c r="AG40" s="974"/>
      <c r="AH40" s="974"/>
    </row>
    <row r="41" spans="1:38" s="576" customFormat="1" hidden="1" outlineLevel="1" x14ac:dyDescent="0.15">
      <c r="A41" s="974"/>
      <c r="B41" s="836" t="s">
        <v>2085</v>
      </c>
      <c r="C41" s="1197">
        <v>0</v>
      </c>
      <c r="D41" s="1197">
        <v>0</v>
      </c>
      <c r="E41" s="1197">
        <v>0</v>
      </c>
      <c r="F41" s="1198"/>
      <c r="G41" s="1199"/>
      <c r="H41" s="1193" t="s">
        <v>2086</v>
      </c>
      <c r="L41" s="974"/>
      <c r="M41" s="1189"/>
      <c r="N41" s="865"/>
      <c r="O41" s="1127"/>
      <c r="P41" s="1127"/>
      <c r="Q41" s="1128"/>
      <c r="R41" s="1127"/>
      <c r="S41" s="1083"/>
      <c r="T41" s="1083"/>
      <c r="U41" s="1083"/>
      <c r="V41" s="1083"/>
      <c r="W41" s="1083"/>
      <c r="X41" s="1084"/>
      <c r="Y41" s="974"/>
      <c r="Z41" s="974"/>
      <c r="AA41" s="974"/>
      <c r="AB41" s="974"/>
      <c r="AC41" s="974"/>
      <c r="AD41" s="974"/>
      <c r="AE41" s="974"/>
      <c r="AF41" s="974"/>
      <c r="AG41" s="974"/>
      <c r="AH41" s="974"/>
    </row>
    <row r="42" spans="1:38" s="576" customFormat="1" hidden="1" outlineLevel="1" x14ac:dyDescent="0.15">
      <c r="A42" s="974"/>
      <c r="B42" s="1200" t="s">
        <v>2087</v>
      </c>
      <c r="C42" s="1201">
        <f>I9</f>
        <v>325</v>
      </c>
      <c r="D42" s="1201"/>
      <c r="E42" s="1202"/>
      <c r="F42" s="1203"/>
      <c r="G42" s="1189"/>
      <c r="H42" s="576" t="s">
        <v>1324</v>
      </c>
      <c r="I42" s="1164">
        <f>D35*H40</f>
        <v>391.67506620000006</v>
      </c>
      <c r="L42" s="974"/>
      <c r="M42" s="974"/>
      <c r="N42" s="865"/>
      <c r="O42" s="1127"/>
      <c r="P42" s="1127"/>
      <c r="Q42" s="1128"/>
      <c r="R42" s="1127"/>
      <c r="S42" s="1083"/>
      <c r="T42" s="1083"/>
      <c r="U42" s="1083"/>
      <c r="V42" s="1083"/>
      <c r="W42" s="1083"/>
      <c r="X42" s="1084"/>
      <c r="Y42" s="974"/>
      <c r="Z42" s="974"/>
      <c r="AA42" s="974"/>
      <c r="AB42" s="974"/>
      <c r="AC42" s="974"/>
      <c r="AD42" s="974"/>
      <c r="AE42" s="974"/>
      <c r="AF42" s="974"/>
      <c r="AG42" s="974"/>
      <c r="AH42" s="974"/>
    </row>
    <row r="43" spans="1:38" s="576" customFormat="1" hidden="1" outlineLevel="1" x14ac:dyDescent="0.15">
      <c r="A43" s="974"/>
      <c r="B43" s="1204" t="s">
        <v>2088</v>
      </c>
      <c r="C43" s="974"/>
      <c r="D43" s="974"/>
      <c r="E43" s="974"/>
      <c r="F43" s="975"/>
      <c r="H43" s="1205" t="s">
        <v>34</v>
      </c>
      <c r="I43" s="1206">
        <f>C35*H40</f>
        <v>105.858126</v>
      </c>
      <c r="L43" s="974"/>
      <c r="M43" s="974"/>
      <c r="N43" s="865"/>
      <c r="O43" s="1127"/>
      <c r="P43" s="1127"/>
      <c r="Q43" s="1128"/>
      <c r="R43" s="1127"/>
      <c r="S43" s="1083"/>
      <c r="T43" s="1083"/>
      <c r="U43" s="1083"/>
      <c r="V43" s="1083"/>
      <c r="W43" s="1083"/>
      <c r="X43" s="1084"/>
      <c r="Y43" s="974"/>
      <c r="Z43" s="974"/>
      <c r="AA43" s="974"/>
      <c r="AB43" s="974"/>
      <c r="AC43" s="974"/>
      <c r="AD43" s="974"/>
      <c r="AE43" s="974"/>
      <c r="AF43" s="974"/>
      <c r="AG43" s="974"/>
      <c r="AH43" s="974"/>
    </row>
    <row r="44" spans="1:38" s="576" customFormat="1" hidden="1" outlineLevel="1" x14ac:dyDescent="0.15">
      <c r="A44" s="974"/>
      <c r="B44" s="1207" t="s">
        <v>2089</v>
      </c>
      <c r="C44" s="973"/>
      <c r="D44" s="973"/>
      <c r="E44" s="973"/>
      <c r="F44" s="973"/>
      <c r="H44" s="976" t="s">
        <v>2090</v>
      </c>
      <c r="I44" s="972">
        <f>SUM(I42:I43)</f>
        <v>497.53319220000003</v>
      </c>
      <c r="L44" s="974"/>
      <c r="M44" s="974"/>
      <c r="N44" s="865"/>
      <c r="O44" s="1127"/>
      <c r="P44" s="1127"/>
      <c r="Q44" s="1128"/>
      <c r="R44" s="1127"/>
      <c r="S44" s="1083"/>
      <c r="T44" s="1083"/>
      <c r="U44" s="1083"/>
      <c r="V44" s="1083"/>
      <c r="W44" s="1083"/>
      <c r="X44" s="1084"/>
      <c r="Y44" s="974"/>
      <c r="Z44" s="974"/>
      <c r="AA44" s="974"/>
      <c r="AB44" s="974"/>
      <c r="AC44" s="974"/>
      <c r="AD44" s="974"/>
      <c r="AE44" s="974"/>
      <c r="AF44" s="974"/>
      <c r="AG44" s="974"/>
      <c r="AH44" s="974"/>
    </row>
    <row r="45" spans="1:38" hidden="1" outlineLevel="1" collapsed="1" x14ac:dyDescent="0.15">
      <c r="B45" s="974"/>
      <c r="C45" s="598"/>
      <c r="D45" s="599"/>
      <c r="E45" s="974"/>
      <c r="F45" s="974"/>
      <c r="G45" s="974"/>
      <c r="J45" s="599"/>
      <c r="K45" s="599"/>
      <c r="L45" s="599"/>
      <c r="M45" s="599"/>
      <c r="N45" s="865"/>
      <c r="O45" s="1127"/>
      <c r="P45" s="1127"/>
      <c r="Q45" s="1128"/>
      <c r="R45" s="1127"/>
      <c r="S45" s="1083"/>
      <c r="T45" s="1083"/>
      <c r="U45" s="1083"/>
      <c r="V45" s="1083"/>
      <c r="W45" s="1083"/>
      <c r="X45" s="1084"/>
      <c r="Y45" s="599"/>
      <c r="Z45" s="599"/>
      <c r="AA45" s="599"/>
      <c r="AB45" s="599"/>
      <c r="AC45" s="599"/>
      <c r="AD45" s="599"/>
      <c r="AE45" s="599"/>
      <c r="AF45" s="599"/>
      <c r="AG45" s="599"/>
      <c r="AH45" s="599"/>
      <c r="AI45" s="599"/>
      <c r="AK45" s="1077"/>
      <c r="AL45" s="601"/>
    </row>
    <row r="46" spans="1:38" hidden="1" outlineLevel="1" x14ac:dyDescent="0.15">
      <c r="B46" s="1208" t="s">
        <v>2091</v>
      </c>
      <c r="C46" s="1209"/>
      <c r="D46" s="1210"/>
      <c r="E46" s="974"/>
      <c r="F46" s="974"/>
      <c r="G46" s="974"/>
      <c r="H46" s="974"/>
      <c r="I46" s="974"/>
      <c r="J46" s="599"/>
      <c r="K46" s="599"/>
      <c r="L46" s="599"/>
      <c r="M46" s="599"/>
      <c r="N46" s="865"/>
      <c r="O46" s="1127"/>
      <c r="P46" s="1127"/>
      <c r="Q46" s="1128"/>
      <c r="R46" s="1127"/>
      <c r="S46" s="1083"/>
      <c r="T46" s="1083"/>
      <c r="U46" s="1083"/>
      <c r="V46" s="1083"/>
      <c r="W46" s="1083"/>
      <c r="X46" s="1084"/>
      <c r="Y46" s="599"/>
      <c r="Z46" s="599"/>
      <c r="AA46" s="599"/>
      <c r="AB46" s="599"/>
      <c r="AC46" s="599"/>
      <c r="AD46" s="599"/>
      <c r="AE46" s="599"/>
      <c r="AF46" s="599"/>
      <c r="AG46" s="599"/>
      <c r="AH46" s="599"/>
      <c r="AI46" s="599"/>
      <c r="AK46" s="1077"/>
      <c r="AL46" s="601"/>
    </row>
    <row r="47" spans="1:38" hidden="1" outlineLevel="1" x14ac:dyDescent="0.15">
      <c r="B47" s="870" t="s">
        <v>2092</v>
      </c>
      <c r="C47" s="1211"/>
      <c r="D47" s="1212"/>
      <c r="E47" s="974"/>
      <c r="F47" s="974"/>
      <c r="G47" s="974"/>
      <c r="H47" s="974"/>
      <c r="I47" s="974"/>
      <c r="J47" s="599"/>
      <c r="K47" s="599"/>
      <c r="L47" s="599"/>
      <c r="M47" s="599"/>
      <c r="N47" s="865"/>
      <c r="O47" s="1127"/>
      <c r="P47" s="1127"/>
      <c r="Q47" s="1128"/>
      <c r="R47" s="1127"/>
      <c r="S47" s="1083"/>
      <c r="T47" s="1083"/>
      <c r="U47" s="1083"/>
      <c r="V47" s="1083"/>
      <c r="W47" s="1083"/>
      <c r="X47" s="1084"/>
      <c r="Y47" s="599"/>
      <c r="Z47" s="599"/>
      <c r="AA47" s="599"/>
      <c r="AB47" s="599"/>
      <c r="AC47" s="599"/>
      <c r="AD47" s="599"/>
      <c r="AE47" s="599"/>
      <c r="AF47" s="599"/>
      <c r="AG47" s="599"/>
      <c r="AH47" s="599"/>
      <c r="AI47" s="599"/>
      <c r="AK47" s="1077"/>
      <c r="AL47" s="601"/>
    </row>
    <row r="48" spans="1:38" hidden="1" outlineLevel="1" x14ac:dyDescent="0.15">
      <c r="B48" s="836" t="s">
        <v>2093</v>
      </c>
      <c r="C48" s="1213" t="e">
        <f>C51</f>
        <v>#REF!</v>
      </c>
      <c r="D48" s="1214"/>
      <c r="E48" s="974"/>
      <c r="F48" s="974"/>
      <c r="G48" s="974"/>
      <c r="H48" s="974"/>
      <c r="I48" s="974"/>
      <c r="J48" s="599"/>
      <c r="K48" s="599"/>
      <c r="L48" s="599"/>
      <c r="M48" s="599"/>
      <c r="N48" s="865"/>
      <c r="O48" s="1127"/>
      <c r="P48" s="1127"/>
      <c r="Q48" s="1128"/>
      <c r="R48" s="1127"/>
      <c r="S48" s="1083"/>
      <c r="T48" s="1083"/>
      <c r="U48" s="1083"/>
      <c r="V48" s="1083"/>
      <c r="W48" s="1083"/>
      <c r="X48" s="1084"/>
      <c r="Y48" s="599"/>
      <c r="Z48" s="599"/>
      <c r="AA48" s="599"/>
      <c r="AB48" s="599"/>
      <c r="AC48" s="599"/>
      <c r="AD48" s="599"/>
      <c r="AE48" s="599"/>
      <c r="AF48" s="599"/>
      <c r="AG48" s="599"/>
      <c r="AH48" s="599"/>
      <c r="AI48" s="599"/>
      <c r="AK48" s="1077"/>
      <c r="AL48" s="601"/>
    </row>
    <row r="49" spans="2:38" hidden="1" outlineLevel="1" x14ac:dyDescent="0.15">
      <c r="B49" s="870" t="s">
        <v>2094</v>
      </c>
      <c r="C49" s="1211"/>
      <c r="D49" s="1215"/>
      <c r="E49" s="974"/>
      <c r="F49" s="974"/>
      <c r="G49" s="974"/>
      <c r="H49" s="974"/>
      <c r="I49" s="974"/>
      <c r="J49" s="599"/>
      <c r="K49" s="599"/>
      <c r="L49" s="599"/>
      <c r="M49" s="599"/>
      <c r="N49" s="865"/>
      <c r="O49" s="1127"/>
      <c r="P49" s="1127"/>
      <c r="Q49" s="1128"/>
      <c r="R49" s="1127"/>
      <c r="S49" s="1083"/>
      <c r="T49" s="1083"/>
      <c r="U49" s="1083"/>
      <c r="V49" s="1083"/>
      <c r="W49" s="1083"/>
      <c r="X49" s="1084"/>
      <c r="Y49" s="599"/>
      <c r="Z49" s="599"/>
      <c r="AA49" s="599"/>
      <c r="AB49" s="599"/>
      <c r="AC49" s="599"/>
      <c r="AD49" s="599"/>
      <c r="AE49" s="599"/>
      <c r="AF49" s="599"/>
      <c r="AG49" s="599"/>
      <c r="AH49" s="599"/>
      <c r="AI49" s="599"/>
      <c r="AK49" s="1077"/>
      <c r="AL49" s="601"/>
    </row>
    <row r="50" spans="2:38" ht="22" hidden="1" outlineLevel="1" x14ac:dyDescent="0.15">
      <c r="B50" s="870" t="s">
        <v>2095</v>
      </c>
      <c r="C50" s="1216" t="s">
        <v>2096</v>
      </c>
      <c r="D50" s="1217" t="s">
        <v>2097</v>
      </c>
      <c r="E50" s="974"/>
      <c r="F50" s="974"/>
      <c r="G50" s="974"/>
      <c r="H50" s="974"/>
      <c r="I50" s="974"/>
      <c r="J50" s="599"/>
      <c r="K50" s="599"/>
      <c r="L50" s="599"/>
      <c r="M50" s="599"/>
      <c r="N50" s="865"/>
      <c r="O50" s="1127"/>
      <c r="P50" s="1127"/>
      <c r="Q50" s="1128"/>
      <c r="R50" s="1127"/>
      <c r="S50" s="1083"/>
      <c r="T50" s="1083"/>
      <c r="U50" s="1083"/>
      <c r="V50" s="1083"/>
      <c r="W50" s="1083"/>
      <c r="X50" s="1084"/>
      <c r="Y50" s="599"/>
      <c r="Z50" s="599"/>
      <c r="AA50" s="599"/>
      <c r="AB50" s="599"/>
      <c r="AC50" s="599"/>
      <c r="AD50" s="599"/>
      <c r="AE50" s="599"/>
      <c r="AF50" s="599"/>
      <c r="AG50" s="599"/>
      <c r="AH50" s="599"/>
      <c r="AI50" s="599"/>
      <c r="AK50" s="1077"/>
      <c r="AL50" s="601"/>
    </row>
    <row r="51" spans="2:38" hidden="1" outlineLevel="1" x14ac:dyDescent="0.15">
      <c r="B51" s="836" t="s">
        <v>34</v>
      </c>
      <c r="C51" s="1218" t="e">
        <f>#REF!</f>
        <v>#REF!</v>
      </c>
      <c r="D51" s="1219" t="e">
        <f>C51-$C$48</f>
        <v>#REF!</v>
      </c>
      <c r="E51" s="974"/>
      <c r="F51" s="974"/>
      <c r="G51" s="974"/>
      <c r="H51" s="974"/>
      <c r="I51" s="974"/>
      <c r="J51" s="599"/>
      <c r="K51" s="599"/>
      <c r="L51" s="599"/>
      <c r="M51" s="599"/>
      <c r="N51" s="865"/>
      <c r="O51" s="1127"/>
      <c r="P51" s="1127"/>
      <c r="Q51" s="1128"/>
      <c r="R51" s="1127"/>
      <c r="S51" s="1083"/>
      <c r="T51" s="1083"/>
      <c r="U51" s="1083"/>
      <c r="V51" s="1083"/>
      <c r="W51" s="1083"/>
      <c r="X51" s="1084"/>
      <c r="Y51" s="599"/>
      <c r="Z51" s="599"/>
      <c r="AA51" s="599"/>
      <c r="AB51" s="599"/>
      <c r="AC51" s="599"/>
      <c r="AD51" s="599"/>
      <c r="AE51" s="599"/>
      <c r="AF51" s="599"/>
      <c r="AG51" s="599"/>
      <c r="AH51" s="599"/>
      <c r="AI51" s="599"/>
      <c r="AK51" s="1077"/>
      <c r="AL51" s="601"/>
    </row>
    <row r="52" spans="2:38" hidden="1" outlineLevel="1" x14ac:dyDescent="0.15">
      <c r="B52" s="836" t="s">
        <v>1324</v>
      </c>
      <c r="C52" s="1218" t="e">
        <f>#REF!</f>
        <v>#REF!</v>
      </c>
      <c r="D52" s="1219" t="e">
        <f>C52-$C$48</f>
        <v>#REF!</v>
      </c>
      <c r="E52" s="974"/>
      <c r="F52" s="974"/>
      <c r="G52" s="974"/>
      <c r="H52" s="974"/>
      <c r="I52" s="974"/>
      <c r="J52" s="599"/>
      <c r="K52" s="599"/>
      <c r="L52" s="599"/>
      <c r="M52" s="599"/>
      <c r="N52" s="865"/>
      <c r="O52" s="1127"/>
      <c r="P52" s="1127"/>
      <c r="Q52" s="1128"/>
      <c r="R52" s="1127"/>
      <c r="S52" s="1083"/>
      <c r="T52" s="1083"/>
      <c r="U52" s="1083"/>
      <c r="V52" s="1083"/>
      <c r="W52" s="1083"/>
      <c r="X52" s="1084"/>
      <c r="Y52" s="599"/>
      <c r="Z52" s="599"/>
      <c r="AA52" s="599"/>
      <c r="AB52" s="599"/>
      <c r="AC52" s="599"/>
      <c r="AD52" s="599"/>
      <c r="AE52" s="599"/>
      <c r="AF52" s="599"/>
      <c r="AG52" s="599"/>
      <c r="AH52" s="599"/>
      <c r="AI52" s="599"/>
      <c r="AK52" s="1077"/>
      <c r="AL52" s="601"/>
    </row>
    <row r="53" spans="2:38" ht="12" hidden="1" outlineLevel="1" thickBot="1" x14ac:dyDescent="0.2">
      <c r="B53" s="1129" t="s">
        <v>26</v>
      </c>
      <c r="C53" s="1220" t="e">
        <f>#REF!</f>
        <v>#REF!</v>
      </c>
      <c r="D53" s="1221" t="e">
        <f>C53-$C$48</f>
        <v>#REF!</v>
      </c>
      <c r="E53" s="974"/>
      <c r="F53" s="974"/>
      <c r="G53" s="974"/>
      <c r="H53" s="974"/>
      <c r="I53" s="974"/>
      <c r="J53" s="599"/>
      <c r="K53" s="599"/>
      <c r="L53" s="599"/>
      <c r="M53" s="599"/>
      <c r="N53" s="865"/>
      <c r="O53" s="1127"/>
      <c r="P53" s="1127"/>
      <c r="Q53" s="1128"/>
      <c r="R53" s="1127"/>
      <c r="S53" s="1083"/>
      <c r="T53" s="1083"/>
      <c r="U53" s="1083"/>
      <c r="V53" s="1083"/>
      <c r="W53" s="1083"/>
      <c r="X53" s="1084"/>
      <c r="Y53" s="599"/>
      <c r="Z53" s="599"/>
      <c r="AA53" s="599"/>
      <c r="AB53" s="599"/>
      <c r="AC53" s="599"/>
      <c r="AD53" s="599"/>
      <c r="AE53" s="599"/>
      <c r="AF53" s="599"/>
      <c r="AG53" s="599"/>
      <c r="AH53" s="599"/>
      <c r="AI53" s="599"/>
      <c r="AK53" s="1077"/>
      <c r="AL53" s="601"/>
    </row>
    <row r="54" spans="2:38" hidden="1" outlineLevel="1" x14ac:dyDescent="0.15">
      <c r="B54" s="1200" t="s">
        <v>2098</v>
      </c>
      <c r="C54" s="1222" t="e">
        <f>AVERAGE(C51:C53)</f>
        <v>#REF!</v>
      </c>
      <c r="D54" s="1223" t="e">
        <f>C54-$C$48</f>
        <v>#REF!</v>
      </c>
      <c r="E54" s="974"/>
      <c r="F54" s="974"/>
      <c r="G54" s="974"/>
      <c r="H54" s="974"/>
      <c r="I54" s="974"/>
      <c r="J54" s="599"/>
      <c r="K54" s="599"/>
      <c r="L54" s="599"/>
      <c r="M54" s="599"/>
      <c r="N54" s="865"/>
      <c r="O54" s="1127"/>
      <c r="P54" s="1127"/>
      <c r="Q54" s="1128"/>
      <c r="R54" s="1127"/>
      <c r="S54" s="1083"/>
      <c r="T54" s="1083"/>
      <c r="U54" s="1083"/>
      <c r="V54" s="1083"/>
      <c r="W54" s="1083"/>
      <c r="X54" s="1084"/>
      <c r="Y54" s="599"/>
      <c r="Z54" s="599"/>
      <c r="AA54" s="599"/>
      <c r="AB54" s="599"/>
      <c r="AC54" s="599"/>
      <c r="AD54" s="599"/>
      <c r="AE54" s="599"/>
      <c r="AF54" s="599"/>
      <c r="AG54" s="599"/>
      <c r="AH54" s="599"/>
      <c r="AI54" s="599"/>
      <c r="AK54" s="1077"/>
      <c r="AL54" s="601"/>
    </row>
    <row r="55" spans="2:38" hidden="1" outlineLevel="1" x14ac:dyDescent="0.15">
      <c r="B55" s="974"/>
      <c r="C55" s="598"/>
      <c r="D55" s="599"/>
      <c r="E55" s="974"/>
      <c r="F55" s="974"/>
      <c r="G55" s="974"/>
      <c r="H55" s="974"/>
      <c r="I55" s="974"/>
      <c r="J55" s="599"/>
      <c r="K55" s="599"/>
      <c r="L55" s="599"/>
      <c r="M55" s="599"/>
      <c r="N55" s="865"/>
      <c r="O55" s="1127"/>
      <c r="P55" s="1127"/>
      <c r="Q55" s="1128"/>
      <c r="R55" s="1127"/>
      <c r="S55" s="1083"/>
      <c r="T55" s="1083"/>
      <c r="U55" s="1083"/>
      <c r="V55" s="1083"/>
      <c r="W55" s="1083"/>
      <c r="X55" s="1084"/>
      <c r="Y55" s="599"/>
      <c r="Z55" s="599"/>
      <c r="AA55" s="599"/>
      <c r="AB55" s="599"/>
      <c r="AC55" s="599"/>
      <c r="AD55" s="599"/>
      <c r="AE55" s="599"/>
      <c r="AF55" s="599"/>
      <c r="AG55" s="599"/>
      <c r="AH55" s="599"/>
      <c r="AI55" s="599"/>
      <c r="AK55" s="1077"/>
      <c r="AL55" s="601"/>
    </row>
    <row r="56" spans="2:38" ht="22" hidden="1" outlineLevel="1" x14ac:dyDescent="0.15">
      <c r="B56" s="1300" t="s">
        <v>1215</v>
      </c>
      <c r="C56" s="1301"/>
      <c r="D56" s="1224" t="s">
        <v>1265</v>
      </c>
      <c r="E56" s="1224" t="s">
        <v>1266</v>
      </c>
      <c r="F56" s="1225" t="s">
        <v>1267</v>
      </c>
      <c r="G56" s="974"/>
      <c r="H56" s="974"/>
      <c r="I56" s="974"/>
      <c r="J56" s="599"/>
      <c r="K56" s="599"/>
      <c r="L56" s="599"/>
      <c r="M56" s="599"/>
      <c r="N56" s="865"/>
      <c r="O56" s="1127"/>
      <c r="P56" s="1127"/>
      <c r="Q56" s="1128"/>
      <c r="R56" s="1127"/>
      <c r="S56" s="1083"/>
      <c r="T56" s="1083"/>
      <c r="U56" s="1083"/>
      <c r="V56" s="1083"/>
      <c r="W56" s="1083"/>
      <c r="X56" s="1084"/>
      <c r="Y56" s="599"/>
      <c r="Z56" s="599"/>
      <c r="AA56" s="599"/>
      <c r="AB56" s="599"/>
      <c r="AC56" s="599"/>
      <c r="AD56" s="599"/>
      <c r="AE56" s="599"/>
      <c r="AF56" s="599"/>
      <c r="AG56" s="599"/>
      <c r="AH56" s="599"/>
      <c r="AI56" s="599"/>
      <c r="AK56" s="1077"/>
      <c r="AL56" s="601"/>
    </row>
    <row r="57" spans="2:38" hidden="1" outlineLevel="1" x14ac:dyDescent="0.15">
      <c r="B57" s="1226" t="s">
        <v>1384</v>
      </c>
      <c r="C57" s="1227">
        <v>4.7E-2</v>
      </c>
      <c r="D57" s="905"/>
      <c r="E57" s="1228"/>
      <c r="F57" s="1229">
        <f>C57</f>
        <v>4.7E-2</v>
      </c>
      <c r="G57" s="974"/>
      <c r="H57" s="974"/>
      <c r="I57" s="974"/>
      <c r="J57" s="599"/>
      <c r="K57" s="599"/>
      <c r="L57" s="599"/>
      <c r="M57" s="599"/>
      <c r="N57" s="865"/>
      <c r="O57" s="1127"/>
      <c r="P57" s="1127"/>
      <c r="Q57" s="1128"/>
      <c r="R57" s="1127"/>
      <c r="S57" s="1083"/>
      <c r="T57" s="1083"/>
      <c r="U57" s="1083"/>
      <c r="V57" s="1083"/>
      <c r="W57" s="1083"/>
      <c r="X57" s="1084"/>
      <c r="Y57" s="599"/>
      <c r="Z57" s="599"/>
      <c r="AA57" s="599"/>
      <c r="AB57" s="599"/>
      <c r="AC57" s="599"/>
      <c r="AD57" s="599"/>
      <c r="AE57" s="599"/>
      <c r="AF57" s="599"/>
      <c r="AG57" s="599"/>
      <c r="AH57" s="599"/>
      <c r="AI57" s="599"/>
      <c r="AK57" s="1077"/>
      <c r="AL57" s="601"/>
    </row>
    <row r="58" spans="2:38" hidden="1" outlineLevel="1" x14ac:dyDescent="0.15">
      <c r="B58" s="572" t="s">
        <v>1385</v>
      </c>
      <c r="C58" s="904">
        <v>2.5000000000000001E-3</v>
      </c>
      <c r="D58" s="905"/>
      <c r="E58" s="905">
        <f>C58/2</f>
        <v>1.25E-3</v>
      </c>
      <c r="F58" s="904"/>
      <c r="G58" s="974"/>
      <c r="H58" s="974"/>
      <c r="I58" s="974"/>
      <c r="J58" s="599"/>
      <c r="K58" s="599"/>
      <c r="L58" s="599"/>
      <c r="M58" s="599"/>
      <c r="N58" s="865"/>
      <c r="O58" s="1127"/>
      <c r="P58" s="1127"/>
      <c r="Q58" s="1128"/>
      <c r="R58" s="1127"/>
      <c r="S58" s="1083"/>
      <c r="T58" s="1083"/>
      <c r="U58" s="1083"/>
      <c r="V58" s="1083"/>
      <c r="W58" s="1083"/>
      <c r="X58" s="1084"/>
      <c r="Y58" s="599"/>
      <c r="Z58" s="599"/>
      <c r="AA58" s="599"/>
      <c r="AB58" s="599"/>
      <c r="AC58" s="599"/>
      <c r="AD58" s="599"/>
      <c r="AE58" s="599"/>
      <c r="AF58" s="599"/>
      <c r="AG58" s="599"/>
      <c r="AH58" s="599"/>
      <c r="AI58" s="599"/>
      <c r="AK58" s="1077"/>
      <c r="AL58" s="601"/>
    </row>
    <row r="59" spans="2:38" hidden="1" outlineLevel="1" x14ac:dyDescent="0.15">
      <c r="B59" s="572" t="s">
        <v>430</v>
      </c>
      <c r="C59" s="904">
        <v>0.01</v>
      </c>
      <c r="D59" s="905">
        <f>C59/2</f>
        <v>5.0000000000000001E-3</v>
      </c>
      <c r="E59" s="905"/>
      <c r="F59" s="904"/>
      <c r="G59" s="974"/>
      <c r="H59" s="974"/>
      <c r="I59" s="974"/>
      <c r="J59" s="599"/>
      <c r="K59" s="599"/>
      <c r="L59" s="599"/>
      <c r="M59" s="599"/>
      <c r="N59" s="865"/>
      <c r="O59" s="1127"/>
      <c r="P59" s="1127"/>
      <c r="Q59" s="1128"/>
      <c r="R59" s="1127"/>
      <c r="S59" s="1083"/>
      <c r="T59" s="1083"/>
      <c r="U59" s="1083"/>
      <c r="V59" s="1083"/>
      <c r="W59" s="1083"/>
      <c r="X59" s="1084"/>
      <c r="Y59" s="599"/>
      <c r="Z59" s="599"/>
      <c r="AA59" s="599"/>
      <c r="AB59" s="599"/>
      <c r="AC59" s="599"/>
      <c r="AD59" s="599"/>
      <c r="AE59" s="599"/>
      <c r="AF59" s="599"/>
      <c r="AG59" s="599"/>
      <c r="AH59" s="599"/>
      <c r="AI59" s="599"/>
      <c r="AK59" s="1077"/>
      <c r="AL59" s="601"/>
    </row>
    <row r="60" spans="2:38" hidden="1" outlineLevel="1" x14ac:dyDescent="0.15">
      <c r="B60" s="572" t="s">
        <v>1452</v>
      </c>
      <c r="C60" s="904">
        <v>2.5000000000000001E-3</v>
      </c>
      <c r="D60" s="905"/>
      <c r="E60" s="905">
        <f>C60</f>
        <v>2.5000000000000001E-3</v>
      </c>
      <c r="F60" s="904"/>
      <c r="G60" s="974"/>
      <c r="H60" s="974"/>
      <c r="I60" s="974"/>
      <c r="J60" s="599"/>
      <c r="K60" s="599"/>
      <c r="L60" s="599"/>
      <c r="M60" s="599"/>
      <c r="N60" s="865"/>
      <c r="O60" s="1127"/>
      <c r="P60" s="1127"/>
      <c r="Q60" s="1128"/>
      <c r="R60" s="1127"/>
      <c r="S60" s="1083"/>
      <c r="T60" s="1083"/>
      <c r="U60" s="1083"/>
      <c r="V60" s="1083"/>
      <c r="W60" s="1083"/>
      <c r="X60" s="1084"/>
      <c r="Y60" s="599"/>
      <c r="Z60" s="599"/>
      <c r="AA60" s="599"/>
      <c r="AB60" s="599"/>
      <c r="AC60" s="599"/>
      <c r="AD60" s="599"/>
      <c r="AE60" s="599"/>
      <c r="AF60" s="599"/>
      <c r="AG60" s="599"/>
      <c r="AH60" s="599"/>
      <c r="AI60" s="599"/>
      <c r="AK60" s="1077"/>
      <c r="AL60" s="601"/>
    </row>
    <row r="61" spans="2:38" hidden="1" outlineLevel="1" x14ac:dyDescent="0.15">
      <c r="B61" s="572" t="s">
        <v>2099</v>
      </c>
      <c r="C61" s="904">
        <v>2.5000000000000001E-3</v>
      </c>
      <c r="D61" s="905"/>
      <c r="E61" s="905">
        <f>C61</f>
        <v>2.5000000000000001E-3</v>
      </c>
      <c r="F61" s="1230"/>
      <c r="G61" s="974"/>
      <c r="H61" s="974"/>
      <c r="I61" s="974"/>
      <c r="J61" s="599"/>
      <c r="K61" s="599"/>
      <c r="L61" s="599"/>
      <c r="M61" s="599"/>
      <c r="N61" s="865"/>
      <c r="O61" s="1127"/>
      <c r="P61" s="1127"/>
      <c r="Q61" s="1128"/>
      <c r="R61" s="1127"/>
      <c r="S61" s="1083"/>
      <c r="T61" s="1083"/>
      <c r="U61" s="1083"/>
      <c r="V61" s="1083"/>
      <c r="W61" s="1083"/>
      <c r="X61" s="1084"/>
      <c r="Y61" s="599"/>
      <c r="Z61" s="599"/>
      <c r="AA61" s="599"/>
      <c r="AB61" s="599"/>
      <c r="AC61" s="599"/>
      <c r="AD61" s="599"/>
      <c r="AE61" s="599"/>
      <c r="AF61" s="599"/>
      <c r="AG61" s="599"/>
      <c r="AH61" s="599"/>
      <c r="AI61" s="599"/>
      <c r="AK61" s="1077"/>
      <c r="AL61" s="601"/>
    </row>
    <row r="62" spans="2:38" hidden="1" outlineLevel="1" x14ac:dyDescent="0.15">
      <c r="B62" s="572" t="s">
        <v>2100</v>
      </c>
      <c r="C62" s="904">
        <v>5.0000000000000001E-4</v>
      </c>
      <c r="D62" s="905"/>
      <c r="E62" s="905"/>
      <c r="F62" s="1231">
        <f>C62</f>
        <v>5.0000000000000001E-4</v>
      </c>
      <c r="G62" s="974"/>
      <c r="H62" s="974"/>
      <c r="I62" s="974"/>
      <c r="J62" s="599"/>
      <c r="K62" s="599"/>
      <c r="L62" s="599"/>
      <c r="M62" s="599"/>
      <c r="N62" s="865"/>
      <c r="O62" s="1127"/>
      <c r="P62" s="1127"/>
      <c r="Q62" s="1128"/>
      <c r="R62" s="1127"/>
      <c r="S62" s="1083"/>
      <c r="T62" s="1083"/>
      <c r="U62" s="1083"/>
      <c r="V62" s="1083"/>
      <c r="W62" s="1083"/>
      <c r="X62" s="1084"/>
      <c r="Y62" s="599"/>
      <c r="Z62" s="599"/>
      <c r="AA62" s="599"/>
      <c r="AB62" s="599"/>
      <c r="AC62" s="599"/>
      <c r="AD62" s="599"/>
      <c r="AE62" s="599"/>
      <c r="AF62" s="599"/>
      <c r="AG62" s="599"/>
      <c r="AH62" s="599"/>
      <c r="AI62" s="599"/>
      <c r="AK62" s="1077"/>
      <c r="AL62" s="601"/>
    </row>
    <row r="63" spans="2:38" hidden="1" outlineLevel="1" x14ac:dyDescent="0.15">
      <c r="B63" s="836" t="s">
        <v>2101</v>
      </c>
      <c r="C63" s="1229">
        <v>1E-3</v>
      </c>
      <c r="D63" s="905"/>
      <c r="E63" s="905">
        <f>C63</f>
        <v>1E-3</v>
      </c>
      <c r="F63" s="1230"/>
      <c r="G63" s="974"/>
      <c r="H63" s="974"/>
      <c r="I63" s="974"/>
      <c r="J63" s="599"/>
      <c r="K63" s="599"/>
      <c r="L63" s="599"/>
      <c r="M63" s="599"/>
      <c r="N63" s="865"/>
      <c r="O63" s="1127"/>
      <c r="P63" s="1127"/>
      <c r="Q63" s="1128"/>
      <c r="R63" s="1127"/>
      <c r="S63" s="1083"/>
      <c r="T63" s="1083"/>
      <c r="U63" s="1083"/>
      <c r="V63" s="1083"/>
      <c r="W63" s="1083"/>
      <c r="X63" s="1084"/>
      <c r="Y63" s="599"/>
      <c r="Z63" s="599"/>
      <c r="AA63" s="599"/>
      <c r="AB63" s="599"/>
      <c r="AC63" s="599"/>
      <c r="AD63" s="599"/>
      <c r="AE63" s="599"/>
      <c r="AF63" s="599"/>
      <c r="AG63" s="599"/>
      <c r="AH63" s="599"/>
      <c r="AI63" s="599"/>
      <c r="AK63" s="1077"/>
      <c r="AL63" s="601"/>
    </row>
    <row r="64" spans="2:38" ht="12" hidden="1" outlineLevel="1" thickBot="1" x14ac:dyDescent="0.2">
      <c r="B64" s="1129" t="s">
        <v>2102</v>
      </c>
      <c r="C64" s="1232">
        <v>0</v>
      </c>
      <c r="D64" s="1233">
        <f>C64</f>
        <v>0</v>
      </c>
      <c r="E64" s="1233"/>
      <c r="F64" s="1234"/>
      <c r="G64" s="974"/>
      <c r="H64" s="974"/>
      <c r="I64" s="974"/>
      <c r="J64" s="599"/>
      <c r="K64" s="599"/>
      <c r="L64" s="599"/>
      <c r="M64" s="599"/>
      <c r="N64" s="865"/>
      <c r="O64" s="1127"/>
      <c r="P64" s="1127"/>
      <c r="Q64" s="1128"/>
      <c r="R64" s="1127"/>
      <c r="S64" s="1083"/>
      <c r="T64" s="1083"/>
      <c r="U64" s="1083"/>
      <c r="V64" s="1083"/>
      <c r="W64" s="1083"/>
      <c r="X64" s="1084"/>
      <c r="Y64" s="599"/>
      <c r="Z64" s="599"/>
      <c r="AA64" s="599"/>
      <c r="AB64" s="599"/>
      <c r="AC64" s="599"/>
      <c r="AD64" s="599"/>
      <c r="AE64" s="599"/>
      <c r="AF64" s="599"/>
      <c r="AG64" s="599"/>
      <c r="AH64" s="599"/>
      <c r="AI64" s="599"/>
      <c r="AK64" s="1077"/>
      <c r="AL64" s="601"/>
    </row>
    <row r="65" spans="2:38" ht="12" hidden="1" outlineLevel="1" thickTop="1" x14ac:dyDescent="0.15">
      <c r="B65" s="1235" t="s">
        <v>1225</v>
      </c>
      <c r="C65" s="1236">
        <f>SUM(C57:C64)</f>
        <v>6.6000000000000003E-2</v>
      </c>
      <c r="D65" s="1237">
        <f>SUM(D57:D64)</f>
        <v>5.0000000000000001E-3</v>
      </c>
      <c r="E65" s="1237">
        <f>SUM(E57:E64)</f>
        <v>7.2500000000000004E-3</v>
      </c>
      <c r="F65" s="1238">
        <f>SUM(F57:F64)</f>
        <v>4.7500000000000001E-2</v>
      </c>
      <c r="G65" s="974"/>
      <c r="H65" s="974"/>
      <c r="I65" s="974"/>
      <c r="J65" s="599"/>
      <c r="K65" s="599"/>
      <c r="L65" s="599"/>
      <c r="M65" s="599"/>
      <c r="N65" s="865"/>
      <c r="O65" s="1127"/>
      <c r="P65" s="1127"/>
      <c r="Q65" s="1128"/>
      <c r="R65" s="1127"/>
      <c r="S65" s="1083"/>
      <c r="T65" s="1083"/>
      <c r="U65" s="1083"/>
      <c r="V65" s="1083"/>
      <c r="W65" s="1083"/>
      <c r="X65" s="1084"/>
      <c r="Y65" s="599"/>
      <c r="Z65" s="599"/>
      <c r="AA65" s="599"/>
      <c r="AB65" s="599"/>
      <c r="AC65" s="599"/>
      <c r="AD65" s="599"/>
      <c r="AE65" s="599"/>
      <c r="AF65" s="599"/>
      <c r="AG65" s="599"/>
      <c r="AH65" s="599"/>
      <c r="AI65" s="599"/>
      <c r="AK65" s="1077"/>
      <c r="AL65" s="601"/>
    </row>
    <row r="66" spans="2:38" hidden="1" outlineLevel="1" x14ac:dyDescent="0.15">
      <c r="B66" s="1302" t="s">
        <v>2103</v>
      </c>
      <c r="C66" s="1303"/>
      <c r="D66" s="1303"/>
      <c r="E66" s="1303"/>
      <c r="F66" s="1304"/>
      <c r="G66" s="974"/>
      <c r="H66" s="974"/>
      <c r="I66" s="974"/>
      <c r="J66" s="599"/>
      <c r="K66" s="599"/>
      <c r="L66" s="599"/>
      <c r="M66" s="599"/>
      <c r="N66" s="865"/>
      <c r="O66" s="1127"/>
      <c r="P66" s="1127"/>
      <c r="Q66" s="1128"/>
      <c r="R66" s="1127"/>
      <c r="S66" s="1083"/>
      <c r="T66" s="1083"/>
      <c r="U66" s="1083"/>
      <c r="V66" s="1083"/>
      <c r="W66" s="1083"/>
      <c r="X66" s="1084"/>
      <c r="Y66" s="599"/>
      <c r="Z66" s="599"/>
      <c r="AA66" s="599"/>
      <c r="AB66" s="599"/>
      <c r="AC66" s="599"/>
      <c r="AD66" s="599"/>
      <c r="AE66" s="599"/>
      <c r="AF66" s="599"/>
      <c r="AG66" s="599"/>
      <c r="AH66" s="599"/>
      <c r="AI66" s="599"/>
      <c r="AK66" s="1077"/>
      <c r="AL66" s="601"/>
    </row>
    <row r="67" spans="2:38" collapsed="1" x14ac:dyDescent="0.15">
      <c r="B67" s="974"/>
      <c r="C67" s="598"/>
      <c r="D67" s="599"/>
      <c r="E67" s="974"/>
      <c r="F67" s="974"/>
      <c r="G67" s="974"/>
      <c r="J67" s="599"/>
      <c r="K67" s="599"/>
      <c r="L67" s="599"/>
      <c r="M67" s="1239"/>
      <c r="N67" s="865"/>
      <c r="O67" s="1127"/>
      <c r="P67" s="1127"/>
      <c r="Q67" s="1128"/>
      <c r="R67" s="1127"/>
      <c r="S67" s="1083"/>
      <c r="T67" s="1083"/>
      <c r="U67" s="1083"/>
      <c r="V67" s="1083"/>
      <c r="W67" s="1083"/>
      <c r="X67" s="1084"/>
      <c r="Y67" s="599"/>
      <c r="Z67" s="599"/>
      <c r="AA67" s="599"/>
      <c r="AB67" s="599"/>
      <c r="AC67" s="599"/>
      <c r="AD67" s="599"/>
      <c r="AE67" s="599"/>
      <c r="AF67" s="599"/>
      <c r="AG67" s="599"/>
      <c r="AH67" s="599"/>
      <c r="AI67" s="599"/>
      <c r="AK67" s="1077"/>
      <c r="AL67" s="601"/>
    </row>
    <row r="68" spans="2:38" s="975" customFormat="1" x14ac:dyDescent="0.15">
      <c r="B68" s="585" t="s">
        <v>1224</v>
      </c>
      <c r="C68" s="628"/>
      <c r="E68" s="974"/>
      <c r="F68" s="974"/>
      <c r="G68" s="974"/>
      <c r="H68" s="974"/>
      <c r="I68" s="1084"/>
      <c r="J68" s="602"/>
      <c r="K68" s="974"/>
      <c r="L68" s="974"/>
      <c r="M68" s="974"/>
      <c r="N68" s="865"/>
      <c r="O68" s="1127"/>
      <c r="P68" s="1127"/>
      <c r="Q68" s="1128"/>
      <c r="R68" s="1127"/>
      <c r="S68" s="1083"/>
      <c r="T68" s="1083"/>
      <c r="U68" s="1083"/>
      <c r="V68" s="1083"/>
      <c r="W68" s="1083"/>
      <c r="X68" s="1084"/>
      <c r="Y68" s="986"/>
      <c r="Z68" s="986"/>
      <c r="AA68" s="986"/>
      <c r="AB68" s="986"/>
      <c r="AC68" s="986"/>
      <c r="AD68" s="986"/>
      <c r="AE68" s="986"/>
      <c r="AF68" s="986"/>
      <c r="AG68" s="986"/>
      <c r="AH68" s="986"/>
    </row>
    <row r="69" spans="2:38" s="975" customFormat="1" ht="12.75" customHeight="1" x14ac:dyDescent="0.15">
      <c r="B69" s="975" t="s">
        <v>40</v>
      </c>
      <c r="C69" s="980">
        <v>0.01</v>
      </c>
      <c r="E69" s="976"/>
      <c r="F69" s="974"/>
      <c r="G69" s="974"/>
      <c r="H69" s="974"/>
      <c r="I69" s="974"/>
      <c r="J69" s="974"/>
      <c r="K69" s="772"/>
      <c r="L69" s="868"/>
      <c r="M69" s="976"/>
      <c r="N69" s="972"/>
      <c r="O69" s="1240"/>
      <c r="P69" s="1115"/>
      <c r="Q69" s="972"/>
      <c r="R69" s="1240"/>
      <c r="S69" s="1241"/>
      <c r="T69" s="1241"/>
      <c r="U69" s="1241"/>
      <c r="V69" s="1241"/>
      <c r="W69" s="1241"/>
      <c r="X69" s="1241"/>
      <c r="Y69" s="986"/>
      <c r="Z69" s="986"/>
      <c r="AA69" s="986"/>
      <c r="AB69" s="986"/>
      <c r="AC69" s="986"/>
      <c r="AD69" s="986"/>
      <c r="AE69" s="986"/>
      <c r="AF69" s="986"/>
      <c r="AG69" s="986"/>
      <c r="AH69" s="986"/>
    </row>
    <row r="70" spans="2:38" s="975" customFormat="1" x14ac:dyDescent="0.15">
      <c r="B70" s="975" t="s">
        <v>14</v>
      </c>
      <c r="C70" s="980">
        <v>0.04</v>
      </c>
      <c r="E70" s="974"/>
      <c r="F70" s="976"/>
      <c r="G70" s="976"/>
      <c r="H70" s="976"/>
      <c r="I70" s="976"/>
      <c r="J70" s="974"/>
      <c r="K70" s="974"/>
      <c r="L70" s="974"/>
      <c r="M70" s="974"/>
      <c r="N70" s="974"/>
      <c r="O70" s="974"/>
      <c r="P70" s="1242"/>
      <c r="Q70" s="974"/>
      <c r="R70" s="1242"/>
      <c r="S70" s="1242"/>
      <c r="T70" s="974"/>
      <c r="U70" s="974"/>
      <c r="V70" s="974"/>
      <c r="W70" s="974"/>
      <c r="X70" s="974"/>
      <c r="Y70" s="986"/>
      <c r="Z70" s="986"/>
      <c r="AA70" s="986"/>
      <c r="AB70" s="986"/>
      <c r="AC70" s="986"/>
      <c r="AD70" s="986"/>
      <c r="AE70" s="986"/>
      <c r="AF70" s="986"/>
      <c r="AG70" s="986"/>
      <c r="AH70" s="986"/>
    </row>
    <row r="71" spans="2:38" s="975" customFormat="1" ht="12.75" customHeight="1" x14ac:dyDescent="0.15">
      <c r="B71" s="809" t="s">
        <v>29</v>
      </c>
      <c r="C71" s="810">
        <v>0.15</v>
      </c>
      <c r="E71" s="1084">
        <f>$I$23*E72</f>
        <v>20121.512590080001</v>
      </c>
      <c r="F71" s="1084">
        <f t="shared" ref="F71:O71" si="0">$I$23*F72</f>
        <v>38985.43064328</v>
      </c>
      <c r="G71" s="1084">
        <f t="shared" si="0"/>
        <v>45273.403327680004</v>
      </c>
      <c r="H71" s="1084">
        <f t="shared" si="0"/>
        <v>52818.970548960002</v>
      </c>
      <c r="I71" s="1084">
        <f t="shared" si="0"/>
        <v>59106.943233359998</v>
      </c>
      <c r="J71" s="1084">
        <f t="shared" si="0"/>
        <v>65394.915917760009</v>
      </c>
      <c r="K71" s="1084">
        <f t="shared" si="0"/>
        <v>75455.672212799996</v>
      </c>
      <c r="L71" s="1084">
        <f t="shared" si="0"/>
        <v>85516.428507839999</v>
      </c>
      <c r="M71" s="1084">
        <f t="shared" si="0"/>
        <v>98092.373876639991</v>
      </c>
      <c r="N71" s="1084">
        <f t="shared" si="0"/>
        <v>110668.31924544</v>
      </c>
      <c r="O71" s="1084">
        <f t="shared" si="0"/>
        <v>125759.45368799999</v>
      </c>
      <c r="P71" s="974"/>
      <c r="Q71" s="974"/>
      <c r="R71" s="1242"/>
      <c r="S71" s="974"/>
      <c r="T71" s="974"/>
      <c r="U71" s="974"/>
      <c r="V71" s="974"/>
      <c r="W71" s="974"/>
      <c r="X71" s="974"/>
      <c r="Y71" s="986"/>
      <c r="Z71" s="986"/>
      <c r="AA71" s="986"/>
      <c r="AB71" s="986"/>
      <c r="AC71" s="986"/>
      <c r="AD71" s="986"/>
      <c r="AE71" s="986"/>
      <c r="AF71" s="986"/>
      <c r="AG71" s="986"/>
      <c r="AH71" s="986"/>
    </row>
    <row r="72" spans="2:38" x14ac:dyDescent="0.15">
      <c r="C72" s="973"/>
      <c r="D72" s="604"/>
      <c r="E72" s="1243">
        <f>E76</f>
        <v>0.16</v>
      </c>
      <c r="F72" s="1243">
        <f>E72+F76</f>
        <v>0.31</v>
      </c>
      <c r="G72" s="1243">
        <f>F72+G76</f>
        <v>0.36</v>
      </c>
      <c r="H72" s="1243">
        <f>G72+H76</f>
        <v>0.42</v>
      </c>
      <c r="I72" s="1243">
        <f>H72+I76</f>
        <v>0.47</v>
      </c>
      <c r="J72" s="1243">
        <f t="shared" ref="J72:M72" si="1">I72+J76</f>
        <v>0.52</v>
      </c>
      <c r="K72" s="1243">
        <f t="shared" si="1"/>
        <v>0.6</v>
      </c>
      <c r="L72" s="1243">
        <f t="shared" si="1"/>
        <v>0.67999999999999994</v>
      </c>
      <c r="M72" s="1243">
        <f t="shared" si="1"/>
        <v>0.77999999999999992</v>
      </c>
      <c r="N72" s="1243">
        <f>M72+N76</f>
        <v>0.87999999999999989</v>
      </c>
      <c r="O72" s="1243">
        <f>N72+O76</f>
        <v>0.99999999999999989</v>
      </c>
    </row>
    <row r="73" spans="2:38" x14ac:dyDescent="0.15">
      <c r="B73" s="706" t="s">
        <v>1373</v>
      </c>
      <c r="C73" s="606"/>
      <c r="D73" s="606"/>
      <c r="E73" s="606"/>
      <c r="F73" s="606"/>
      <c r="G73" s="606"/>
      <c r="H73" s="606"/>
      <c r="I73" s="606"/>
      <c r="J73" s="606"/>
      <c r="K73" s="606"/>
      <c r="L73" s="606"/>
      <c r="M73" s="606"/>
      <c r="N73" s="606"/>
      <c r="O73" s="606"/>
      <c r="P73" s="606"/>
      <c r="Q73" s="606"/>
      <c r="R73" s="606"/>
      <c r="S73" s="606"/>
      <c r="T73" s="606"/>
      <c r="U73" s="606"/>
      <c r="V73" s="606"/>
      <c r="W73" s="606"/>
      <c r="X73" s="606"/>
      <c r="Y73" s="606"/>
      <c r="Z73" s="606"/>
      <c r="AA73" s="606"/>
      <c r="AB73" s="606"/>
      <c r="AC73" s="606"/>
      <c r="AD73" s="606"/>
      <c r="AE73" s="606"/>
      <c r="AF73" s="606"/>
      <c r="AG73" s="606"/>
      <c r="AH73" s="606"/>
      <c r="AI73" s="606"/>
      <c r="AJ73" s="975"/>
    </row>
    <row r="74" spans="2:38" x14ac:dyDescent="0.15">
      <c r="B74" s="589"/>
      <c r="C74" s="607"/>
      <c r="D74" s="608"/>
      <c r="E74" s="608"/>
      <c r="F74" s="608"/>
      <c r="G74" s="608"/>
      <c r="H74" s="607"/>
      <c r="I74" s="608"/>
      <c r="J74" s="608"/>
      <c r="K74" s="608"/>
      <c r="L74" s="608"/>
      <c r="M74" s="607"/>
      <c r="N74" s="608"/>
      <c r="O74" s="608"/>
      <c r="P74" s="608"/>
      <c r="Q74" s="608"/>
      <c r="R74" s="608"/>
      <c r="S74" s="608"/>
      <c r="T74" s="608"/>
      <c r="U74" s="608"/>
      <c r="V74" s="608"/>
      <c r="W74" s="608"/>
      <c r="X74" s="608"/>
      <c r="Y74" s="608"/>
      <c r="Z74" s="608"/>
      <c r="AA74" s="608"/>
      <c r="AB74" s="608"/>
      <c r="AC74" s="608"/>
      <c r="AD74" s="608"/>
      <c r="AE74" s="608"/>
      <c r="AF74" s="608"/>
      <c r="AG74" s="608"/>
      <c r="AH74" s="608"/>
      <c r="AI74" s="589"/>
      <c r="AJ74" s="975"/>
    </row>
    <row r="75" spans="2:38" x14ac:dyDescent="0.15">
      <c r="B75" s="585" t="s">
        <v>1263</v>
      </c>
      <c r="C75" s="631">
        <v>2018</v>
      </c>
      <c r="D75" s="631">
        <f>C75+1</f>
        <v>2019</v>
      </c>
      <c r="E75" s="631">
        <f t="shared" ref="E75:AH75" si="2">D75+1</f>
        <v>2020</v>
      </c>
      <c r="F75" s="631">
        <f t="shared" si="2"/>
        <v>2021</v>
      </c>
      <c r="G75" s="631">
        <f t="shared" si="2"/>
        <v>2022</v>
      </c>
      <c r="H75" s="631">
        <f t="shared" si="2"/>
        <v>2023</v>
      </c>
      <c r="I75" s="631">
        <f t="shared" si="2"/>
        <v>2024</v>
      </c>
      <c r="J75" s="631">
        <f t="shared" si="2"/>
        <v>2025</v>
      </c>
      <c r="K75" s="631">
        <f t="shared" si="2"/>
        <v>2026</v>
      </c>
      <c r="L75" s="631">
        <f t="shared" si="2"/>
        <v>2027</v>
      </c>
      <c r="M75" s="631">
        <f t="shared" si="2"/>
        <v>2028</v>
      </c>
      <c r="N75" s="631">
        <f t="shared" si="2"/>
        <v>2029</v>
      </c>
      <c r="O75" s="631">
        <f t="shared" si="2"/>
        <v>2030</v>
      </c>
      <c r="P75" s="631">
        <f t="shared" si="2"/>
        <v>2031</v>
      </c>
      <c r="Q75" s="631">
        <f t="shared" si="2"/>
        <v>2032</v>
      </c>
      <c r="R75" s="631">
        <f t="shared" si="2"/>
        <v>2033</v>
      </c>
      <c r="S75" s="631">
        <f t="shared" si="2"/>
        <v>2034</v>
      </c>
      <c r="T75" s="631">
        <f t="shared" si="2"/>
        <v>2035</v>
      </c>
      <c r="U75" s="631">
        <f t="shared" si="2"/>
        <v>2036</v>
      </c>
      <c r="V75" s="631">
        <f t="shared" si="2"/>
        <v>2037</v>
      </c>
      <c r="W75" s="631">
        <f t="shared" si="2"/>
        <v>2038</v>
      </c>
      <c r="X75" s="631">
        <f t="shared" si="2"/>
        <v>2039</v>
      </c>
      <c r="Y75" s="631">
        <f t="shared" si="2"/>
        <v>2040</v>
      </c>
      <c r="Z75" s="631">
        <f t="shared" si="2"/>
        <v>2041</v>
      </c>
      <c r="AA75" s="631">
        <f t="shared" si="2"/>
        <v>2042</v>
      </c>
      <c r="AB75" s="631">
        <f t="shared" si="2"/>
        <v>2043</v>
      </c>
      <c r="AC75" s="631">
        <f t="shared" si="2"/>
        <v>2044</v>
      </c>
      <c r="AD75" s="631">
        <f t="shared" si="2"/>
        <v>2045</v>
      </c>
      <c r="AE75" s="631">
        <f t="shared" si="2"/>
        <v>2046</v>
      </c>
      <c r="AF75" s="631">
        <f t="shared" si="2"/>
        <v>2047</v>
      </c>
      <c r="AG75" s="631">
        <f t="shared" si="2"/>
        <v>2048</v>
      </c>
      <c r="AH75" s="631">
        <f t="shared" si="2"/>
        <v>2049</v>
      </c>
      <c r="AI75" s="631" t="s">
        <v>13</v>
      </c>
      <c r="AJ75" s="975"/>
    </row>
    <row r="76" spans="2:38" x14ac:dyDescent="0.15">
      <c r="B76" s="1105" t="s">
        <v>41</v>
      </c>
      <c r="C76" s="597">
        <v>0</v>
      </c>
      <c r="D76" s="597">
        <v>0</v>
      </c>
      <c r="E76" s="597">
        <v>0.16</v>
      </c>
      <c r="F76" s="597">
        <v>0.15</v>
      </c>
      <c r="G76" s="597">
        <v>0.05</v>
      </c>
      <c r="H76" s="597">
        <v>0.06</v>
      </c>
      <c r="I76" s="597">
        <v>0.05</v>
      </c>
      <c r="J76" s="597">
        <v>0.05</v>
      </c>
      <c r="K76" s="597">
        <v>0.08</v>
      </c>
      <c r="L76" s="597">
        <v>0.08</v>
      </c>
      <c r="M76" s="597">
        <v>0.1</v>
      </c>
      <c r="N76" s="597">
        <v>0.1</v>
      </c>
      <c r="O76" s="597">
        <v>0.12</v>
      </c>
      <c r="P76" s="597">
        <v>0</v>
      </c>
      <c r="Q76" s="597">
        <v>0</v>
      </c>
      <c r="R76" s="597">
        <v>0</v>
      </c>
      <c r="S76" s="597">
        <v>0</v>
      </c>
      <c r="T76" s="597">
        <v>0</v>
      </c>
      <c r="U76" s="597">
        <f t="shared" ref="U76:AH78" si="3">T76</f>
        <v>0</v>
      </c>
      <c r="V76" s="597">
        <f t="shared" si="3"/>
        <v>0</v>
      </c>
      <c r="W76" s="597">
        <f t="shared" si="3"/>
        <v>0</v>
      </c>
      <c r="X76" s="597">
        <f t="shared" si="3"/>
        <v>0</v>
      </c>
      <c r="Y76" s="597">
        <f t="shared" si="3"/>
        <v>0</v>
      </c>
      <c r="Z76" s="597">
        <f t="shared" si="3"/>
        <v>0</v>
      </c>
      <c r="AA76" s="597">
        <f t="shared" si="3"/>
        <v>0</v>
      </c>
      <c r="AB76" s="597">
        <f t="shared" si="3"/>
        <v>0</v>
      </c>
      <c r="AC76" s="597">
        <f t="shared" si="3"/>
        <v>0</v>
      </c>
      <c r="AD76" s="597">
        <f t="shared" si="3"/>
        <v>0</v>
      </c>
      <c r="AE76" s="597">
        <f t="shared" si="3"/>
        <v>0</v>
      </c>
      <c r="AF76" s="597">
        <f t="shared" si="3"/>
        <v>0</v>
      </c>
      <c r="AG76" s="597">
        <f t="shared" si="3"/>
        <v>0</v>
      </c>
      <c r="AH76" s="597">
        <f t="shared" si="3"/>
        <v>0</v>
      </c>
      <c r="AI76" s="630">
        <f>SUM(C76:AH76)</f>
        <v>0.99999999999999989</v>
      </c>
      <c r="AJ76" s="975"/>
    </row>
    <row r="77" spans="2:38" x14ac:dyDescent="0.15">
      <c r="B77" s="1105" t="str">
        <f>D34</f>
        <v>Office</v>
      </c>
      <c r="C77" s="597">
        <v>0</v>
      </c>
      <c r="D77" s="597">
        <v>0</v>
      </c>
      <c r="E77" s="597">
        <v>0</v>
      </c>
      <c r="F77" s="597">
        <v>0.04</v>
      </c>
      <c r="G77" s="597">
        <v>0.05</v>
      </c>
      <c r="H77" s="597">
        <v>7.0000000000000007E-2</v>
      </c>
      <c r="I77" s="597">
        <v>7.0000000000000007E-2</v>
      </c>
      <c r="J77" s="597">
        <v>0.08</v>
      </c>
      <c r="K77" s="597">
        <v>0.08</v>
      </c>
      <c r="L77" s="597">
        <v>0.08</v>
      </c>
      <c r="M77" s="597">
        <v>0.08</v>
      </c>
      <c r="N77" s="597">
        <v>0.09</v>
      </c>
      <c r="O77" s="597">
        <v>0.12</v>
      </c>
      <c r="P77" s="597">
        <v>0.12</v>
      </c>
      <c r="Q77" s="597">
        <v>0.12</v>
      </c>
      <c r="R77" s="597">
        <v>0</v>
      </c>
      <c r="S77" s="597">
        <v>0</v>
      </c>
      <c r="T77" s="597">
        <v>0</v>
      </c>
      <c r="U77" s="597">
        <f t="shared" si="3"/>
        <v>0</v>
      </c>
      <c r="V77" s="597">
        <f t="shared" si="3"/>
        <v>0</v>
      </c>
      <c r="W77" s="597">
        <f t="shared" si="3"/>
        <v>0</v>
      </c>
      <c r="X77" s="597">
        <f t="shared" si="3"/>
        <v>0</v>
      </c>
      <c r="Y77" s="597">
        <f t="shared" si="3"/>
        <v>0</v>
      </c>
      <c r="Z77" s="597">
        <f t="shared" si="3"/>
        <v>0</v>
      </c>
      <c r="AA77" s="597">
        <f t="shared" si="3"/>
        <v>0</v>
      </c>
      <c r="AB77" s="597">
        <f t="shared" si="3"/>
        <v>0</v>
      </c>
      <c r="AC77" s="597">
        <f t="shared" si="3"/>
        <v>0</v>
      </c>
      <c r="AD77" s="597">
        <f t="shared" si="3"/>
        <v>0</v>
      </c>
      <c r="AE77" s="597">
        <f t="shared" si="3"/>
        <v>0</v>
      </c>
      <c r="AF77" s="597">
        <f t="shared" si="3"/>
        <v>0</v>
      </c>
      <c r="AG77" s="597">
        <f t="shared" si="3"/>
        <v>0</v>
      </c>
      <c r="AH77" s="597">
        <f t="shared" si="3"/>
        <v>0</v>
      </c>
      <c r="AI77" s="630">
        <f>SUM(C77:AH77)</f>
        <v>1</v>
      </c>
      <c r="AJ77" s="975"/>
    </row>
    <row r="78" spans="2:38" x14ac:dyDescent="0.15">
      <c r="B78" s="975" t="str">
        <f>E34</f>
        <v>Residential</v>
      </c>
      <c r="C78" s="597">
        <v>0</v>
      </c>
      <c r="D78" s="597">
        <v>0</v>
      </c>
      <c r="E78" s="597">
        <v>0.39402173899999998</v>
      </c>
      <c r="F78" s="597">
        <v>0.39402173899999998</v>
      </c>
      <c r="G78" s="597">
        <v>0.05</v>
      </c>
      <c r="H78" s="597">
        <v>0.06</v>
      </c>
      <c r="I78" s="597">
        <v>0.05</v>
      </c>
      <c r="J78" s="597">
        <v>0.05</v>
      </c>
      <c r="K78" s="597">
        <v>0</v>
      </c>
      <c r="L78" s="597">
        <v>0</v>
      </c>
      <c r="M78" s="597">
        <v>0</v>
      </c>
      <c r="N78" s="597">
        <v>0</v>
      </c>
      <c r="O78" s="597">
        <v>0</v>
      </c>
      <c r="P78" s="597">
        <v>0</v>
      </c>
      <c r="Q78" s="597">
        <v>0</v>
      </c>
      <c r="R78" s="597">
        <v>0</v>
      </c>
      <c r="S78" s="597">
        <v>0</v>
      </c>
      <c r="T78" s="597">
        <v>0</v>
      </c>
      <c r="U78" s="597">
        <f t="shared" si="3"/>
        <v>0</v>
      </c>
      <c r="V78" s="597">
        <f t="shared" si="3"/>
        <v>0</v>
      </c>
      <c r="W78" s="597">
        <f t="shared" si="3"/>
        <v>0</v>
      </c>
      <c r="X78" s="597">
        <f t="shared" si="3"/>
        <v>0</v>
      </c>
      <c r="Y78" s="597">
        <f t="shared" si="3"/>
        <v>0</v>
      </c>
      <c r="Z78" s="597">
        <f t="shared" si="3"/>
        <v>0</v>
      </c>
      <c r="AA78" s="597">
        <f t="shared" si="3"/>
        <v>0</v>
      </c>
      <c r="AB78" s="597">
        <f t="shared" si="3"/>
        <v>0</v>
      </c>
      <c r="AC78" s="597">
        <f t="shared" si="3"/>
        <v>0</v>
      </c>
      <c r="AD78" s="597">
        <f t="shared" si="3"/>
        <v>0</v>
      </c>
      <c r="AE78" s="597">
        <f t="shared" si="3"/>
        <v>0</v>
      </c>
      <c r="AF78" s="597">
        <f t="shared" si="3"/>
        <v>0</v>
      </c>
      <c r="AG78" s="597">
        <f t="shared" si="3"/>
        <v>0</v>
      </c>
      <c r="AH78" s="597">
        <f t="shared" si="3"/>
        <v>0</v>
      </c>
      <c r="AI78" s="630">
        <f>SUM(C78:AH78)</f>
        <v>0.99804347800000004</v>
      </c>
      <c r="AJ78" s="975"/>
    </row>
    <row r="79" spans="2:38" x14ac:dyDescent="0.15">
      <c r="B79" s="975"/>
      <c r="C79" s="1244"/>
      <c r="D79" s="1244"/>
      <c r="E79" s="1244"/>
      <c r="F79" s="1244"/>
      <c r="G79" s="1244"/>
      <c r="H79" s="1244"/>
      <c r="I79" s="1244"/>
      <c r="J79" s="1244"/>
      <c r="K79" s="1244"/>
      <c r="L79" s="1244"/>
      <c r="M79" s="975"/>
      <c r="N79" s="975"/>
      <c r="O79" s="975"/>
      <c r="P79" s="975"/>
      <c r="Q79" s="975"/>
      <c r="R79" s="975"/>
      <c r="S79" s="975"/>
      <c r="T79" s="975"/>
      <c r="U79" s="975"/>
      <c r="V79" s="975"/>
      <c r="W79" s="975"/>
      <c r="X79" s="975"/>
      <c r="Y79" s="975"/>
      <c r="Z79" s="975"/>
      <c r="AA79" s="975"/>
      <c r="AB79" s="975"/>
      <c r="AC79" s="975"/>
      <c r="AD79" s="975"/>
      <c r="AE79" s="975"/>
      <c r="AF79" s="975"/>
      <c r="AG79" s="975"/>
      <c r="AH79" s="975"/>
      <c r="AI79" s="1244"/>
      <c r="AJ79" s="975"/>
    </row>
    <row r="80" spans="2:38" x14ac:dyDescent="0.15">
      <c r="B80" s="585" t="s">
        <v>2104</v>
      </c>
      <c r="C80" s="607"/>
      <c r="D80" s="607"/>
      <c r="E80" s="607"/>
      <c r="F80" s="607"/>
      <c r="G80" s="607"/>
      <c r="H80" s="607"/>
      <c r="I80" s="607"/>
      <c r="J80" s="607"/>
      <c r="K80" s="607"/>
      <c r="L80" s="607"/>
      <c r="M80" s="607"/>
      <c r="N80" s="607"/>
      <c r="O80" s="607"/>
      <c r="P80" s="607"/>
      <c r="Q80" s="607"/>
      <c r="R80" s="607"/>
      <c r="S80" s="607"/>
      <c r="T80" s="607"/>
      <c r="U80" s="607"/>
      <c r="V80" s="607"/>
      <c r="W80" s="607"/>
      <c r="X80" s="607"/>
      <c r="Y80" s="607"/>
      <c r="Z80" s="607"/>
      <c r="AA80" s="607"/>
      <c r="AB80" s="607"/>
      <c r="AC80" s="607"/>
      <c r="AD80" s="607"/>
      <c r="AE80" s="607"/>
      <c r="AF80" s="607"/>
      <c r="AG80" s="607"/>
      <c r="AH80" s="607"/>
      <c r="AI80" s="607"/>
      <c r="AJ80" s="975"/>
    </row>
    <row r="81" spans="1:37" s="576" customFormat="1" x14ac:dyDescent="0.15">
      <c r="A81" s="974"/>
      <c r="B81" s="1105" t="str">
        <f>B76</f>
        <v>Commercial</v>
      </c>
      <c r="C81" s="609">
        <f t="shared" ref="C81:AH81" si="4">C76*$C36</f>
        <v>0</v>
      </c>
      <c r="D81" s="609">
        <f t="shared" si="4"/>
        <v>0</v>
      </c>
      <c r="E81" s="609">
        <f t="shared" si="4"/>
        <v>20121.512590080001</v>
      </c>
      <c r="F81" s="609">
        <f t="shared" si="4"/>
        <v>18863.918053199999</v>
      </c>
      <c r="G81" s="609">
        <f t="shared" si="4"/>
        <v>6287.9726844000006</v>
      </c>
      <c r="H81" s="609">
        <f t="shared" si="4"/>
        <v>7545.56722128</v>
      </c>
      <c r="I81" s="609">
        <f t="shared" si="4"/>
        <v>6287.9726844000006</v>
      </c>
      <c r="J81" s="609">
        <f t="shared" si="4"/>
        <v>6287.9726844000006</v>
      </c>
      <c r="K81" s="609">
        <f t="shared" si="4"/>
        <v>10060.756295040001</v>
      </c>
      <c r="L81" s="609">
        <f t="shared" si="4"/>
        <v>10060.756295040001</v>
      </c>
      <c r="M81" s="609">
        <f t="shared" si="4"/>
        <v>12575.945368800001</v>
      </c>
      <c r="N81" s="609">
        <f t="shared" si="4"/>
        <v>12575.945368800001</v>
      </c>
      <c r="O81" s="609">
        <f t="shared" si="4"/>
        <v>15091.13444256</v>
      </c>
      <c r="P81" s="609">
        <f t="shared" si="4"/>
        <v>0</v>
      </c>
      <c r="Q81" s="609">
        <f t="shared" si="4"/>
        <v>0</v>
      </c>
      <c r="R81" s="609">
        <f t="shared" si="4"/>
        <v>0</v>
      </c>
      <c r="S81" s="609">
        <f t="shared" si="4"/>
        <v>0</v>
      </c>
      <c r="T81" s="609">
        <f t="shared" si="4"/>
        <v>0</v>
      </c>
      <c r="U81" s="609">
        <f t="shared" si="4"/>
        <v>0</v>
      </c>
      <c r="V81" s="609">
        <f t="shared" si="4"/>
        <v>0</v>
      </c>
      <c r="W81" s="609">
        <f t="shared" si="4"/>
        <v>0</v>
      </c>
      <c r="X81" s="609">
        <f t="shared" si="4"/>
        <v>0</v>
      </c>
      <c r="Y81" s="609">
        <f t="shared" si="4"/>
        <v>0</v>
      </c>
      <c r="Z81" s="609">
        <f t="shared" si="4"/>
        <v>0</v>
      </c>
      <c r="AA81" s="609">
        <f t="shared" si="4"/>
        <v>0</v>
      </c>
      <c r="AB81" s="609">
        <f t="shared" si="4"/>
        <v>0</v>
      </c>
      <c r="AC81" s="609">
        <f t="shared" si="4"/>
        <v>0</v>
      </c>
      <c r="AD81" s="609">
        <f t="shared" si="4"/>
        <v>0</v>
      </c>
      <c r="AE81" s="609">
        <f t="shared" si="4"/>
        <v>0</v>
      </c>
      <c r="AF81" s="609">
        <f t="shared" si="4"/>
        <v>0</v>
      </c>
      <c r="AG81" s="609">
        <f t="shared" si="4"/>
        <v>0</v>
      </c>
      <c r="AH81" s="609">
        <f t="shared" si="4"/>
        <v>0</v>
      </c>
      <c r="AI81" s="609">
        <f t="shared" ref="AI81:AI87" si="5">SUM(C81:AH81)</f>
        <v>125759.45368800002</v>
      </c>
      <c r="AJ81" s="974"/>
      <c r="AK81" s="576" t="e">
        <f>AI81=#REF!</f>
        <v>#REF!</v>
      </c>
    </row>
    <row r="82" spans="1:37" s="576" customFormat="1" x14ac:dyDescent="0.15">
      <c r="A82" s="974"/>
      <c r="B82" s="1105" t="str">
        <f>B77</f>
        <v>Office</v>
      </c>
      <c r="C82" s="609">
        <f t="shared" ref="C82:AH82" si="6">C77*$D$36</f>
        <v>0</v>
      </c>
      <c r="D82" s="609">
        <f t="shared" si="6"/>
        <v>0</v>
      </c>
      <c r="E82" s="1245">
        <f t="shared" si="6"/>
        <v>0</v>
      </c>
      <c r="F82" s="609">
        <f t="shared" si="6"/>
        <v>18612.399145824002</v>
      </c>
      <c r="G82" s="609">
        <f t="shared" si="6"/>
        <v>23265.498932280003</v>
      </c>
      <c r="H82" s="609">
        <f t="shared" si="6"/>
        <v>32571.698505192006</v>
      </c>
      <c r="I82" s="609">
        <f t="shared" si="6"/>
        <v>32571.698505192006</v>
      </c>
      <c r="J82" s="609">
        <f t="shared" si="6"/>
        <v>37224.798291648003</v>
      </c>
      <c r="K82" s="609">
        <f t="shared" si="6"/>
        <v>37224.798291648003</v>
      </c>
      <c r="L82" s="609">
        <f t="shared" si="6"/>
        <v>37224.798291648003</v>
      </c>
      <c r="M82" s="609">
        <f t="shared" si="6"/>
        <v>37224.798291648003</v>
      </c>
      <c r="N82" s="609">
        <f t="shared" si="6"/>
        <v>41877.898078104001</v>
      </c>
      <c r="O82" s="609">
        <f t="shared" si="6"/>
        <v>55837.197437472001</v>
      </c>
      <c r="P82" s="609">
        <f t="shared" si="6"/>
        <v>55837.197437472001</v>
      </c>
      <c r="Q82" s="609">
        <f t="shared" si="6"/>
        <v>55837.197437472001</v>
      </c>
      <c r="R82" s="609">
        <f t="shared" si="6"/>
        <v>0</v>
      </c>
      <c r="S82" s="609">
        <f t="shared" si="6"/>
        <v>0</v>
      </c>
      <c r="T82" s="609">
        <f t="shared" si="6"/>
        <v>0</v>
      </c>
      <c r="U82" s="609">
        <f t="shared" si="6"/>
        <v>0</v>
      </c>
      <c r="V82" s="609">
        <f t="shared" si="6"/>
        <v>0</v>
      </c>
      <c r="W82" s="609">
        <f t="shared" si="6"/>
        <v>0</v>
      </c>
      <c r="X82" s="609">
        <f t="shared" si="6"/>
        <v>0</v>
      </c>
      <c r="Y82" s="609">
        <f t="shared" si="6"/>
        <v>0</v>
      </c>
      <c r="Z82" s="609">
        <f t="shared" si="6"/>
        <v>0</v>
      </c>
      <c r="AA82" s="609">
        <f t="shared" si="6"/>
        <v>0</v>
      </c>
      <c r="AB82" s="609">
        <f t="shared" si="6"/>
        <v>0</v>
      </c>
      <c r="AC82" s="609">
        <f t="shared" si="6"/>
        <v>0</v>
      </c>
      <c r="AD82" s="609">
        <f t="shared" si="6"/>
        <v>0</v>
      </c>
      <c r="AE82" s="609">
        <f t="shared" si="6"/>
        <v>0</v>
      </c>
      <c r="AF82" s="609">
        <f t="shared" si="6"/>
        <v>0</v>
      </c>
      <c r="AG82" s="609">
        <f t="shared" si="6"/>
        <v>0</v>
      </c>
      <c r="AH82" s="609">
        <f t="shared" si="6"/>
        <v>0</v>
      </c>
      <c r="AI82" s="609">
        <f t="shared" si="5"/>
        <v>465309.97864560003</v>
      </c>
      <c r="AJ82" s="974"/>
      <c r="AK82" s="576" t="e">
        <f>AI82=#REF!+#REF!</f>
        <v>#REF!</v>
      </c>
    </row>
    <row r="83" spans="1:37" ht="12" thickBot="1" x14ac:dyDescent="0.2">
      <c r="B83" s="1246" t="s">
        <v>2105</v>
      </c>
      <c r="C83" s="1247">
        <f>C84/43560</f>
        <v>0</v>
      </c>
      <c r="D83" s="1248">
        <f t="shared" ref="D83:AH83" si="7">D84/43560</f>
        <v>0</v>
      </c>
      <c r="E83" s="1248">
        <f>($C$35*E76)+($D$35*E77)</f>
        <v>1.5397545600000002</v>
      </c>
      <c r="F83" s="1248">
        <f>($C$35*F76)+($D$35*F77)</f>
        <v>2.8677928680000004</v>
      </c>
      <c r="G83" s="1248">
        <f t="shared" ref="G83:Q83" si="8">($C$35*G76)+($D$35*G77)</f>
        <v>2.2615145100000005</v>
      </c>
      <c r="H83" s="1248">
        <f t="shared" si="8"/>
        <v>3.0698856540000006</v>
      </c>
      <c r="I83" s="1248">
        <f t="shared" si="8"/>
        <v>2.9736509940000007</v>
      </c>
      <c r="J83" s="1248">
        <f t="shared" si="8"/>
        <v>3.3297192360000003</v>
      </c>
      <c r="K83" s="1248">
        <f t="shared" si="8"/>
        <v>3.6184232160000005</v>
      </c>
      <c r="L83" s="1248">
        <f t="shared" si="8"/>
        <v>3.6184232160000005</v>
      </c>
      <c r="M83" s="1248">
        <f t="shared" si="8"/>
        <v>3.8108925360000003</v>
      </c>
      <c r="N83" s="1248">
        <f t="shared" si="8"/>
        <v>4.166960778</v>
      </c>
      <c r="O83" s="1248">
        <f t="shared" si="8"/>
        <v>5.4276348240000001</v>
      </c>
      <c r="P83" s="1248">
        <f t="shared" si="8"/>
        <v>4.2728189040000002</v>
      </c>
      <c r="Q83" s="1248">
        <f t="shared" si="8"/>
        <v>4.2728189040000002</v>
      </c>
      <c r="R83" s="1247">
        <f t="shared" si="7"/>
        <v>0</v>
      </c>
      <c r="S83" s="1247">
        <f t="shared" si="7"/>
        <v>0</v>
      </c>
      <c r="T83" s="1247">
        <f t="shared" si="7"/>
        <v>0</v>
      </c>
      <c r="U83" s="1247">
        <f t="shared" si="7"/>
        <v>0</v>
      </c>
      <c r="V83" s="1247">
        <f t="shared" si="7"/>
        <v>0</v>
      </c>
      <c r="W83" s="1247">
        <f t="shared" si="7"/>
        <v>0</v>
      </c>
      <c r="X83" s="1247">
        <f t="shared" si="7"/>
        <v>0</v>
      </c>
      <c r="Y83" s="1247">
        <f t="shared" si="7"/>
        <v>0</v>
      </c>
      <c r="Z83" s="1247">
        <f t="shared" si="7"/>
        <v>0</v>
      </c>
      <c r="AA83" s="1247">
        <f t="shared" si="7"/>
        <v>0</v>
      </c>
      <c r="AB83" s="1247">
        <f t="shared" si="7"/>
        <v>0</v>
      </c>
      <c r="AC83" s="1247">
        <f t="shared" si="7"/>
        <v>0</v>
      </c>
      <c r="AD83" s="1247">
        <f t="shared" si="7"/>
        <v>0</v>
      </c>
      <c r="AE83" s="1247">
        <f t="shared" si="7"/>
        <v>0</v>
      </c>
      <c r="AF83" s="1247">
        <f t="shared" si="7"/>
        <v>0</v>
      </c>
      <c r="AG83" s="1247">
        <f t="shared" si="7"/>
        <v>0</v>
      </c>
      <c r="AH83" s="1247">
        <f t="shared" si="7"/>
        <v>0</v>
      </c>
      <c r="AI83" s="1249">
        <f t="shared" si="5"/>
        <v>45.230290199999999</v>
      </c>
      <c r="AJ83" s="975"/>
    </row>
    <row r="84" spans="1:37" ht="13" thickTop="1" thickBot="1" x14ac:dyDescent="0.2">
      <c r="B84" s="1250" t="s">
        <v>2106</v>
      </c>
      <c r="C84" s="1251">
        <f t="shared" ref="C84:AH84" si="9">SUM(C81:C82)</f>
        <v>0</v>
      </c>
      <c r="D84" s="1251">
        <f t="shared" si="9"/>
        <v>0</v>
      </c>
      <c r="E84" s="1252">
        <f t="shared" si="9"/>
        <v>20121.512590080001</v>
      </c>
      <c r="F84" s="1252">
        <f t="shared" si="9"/>
        <v>37476.317199024001</v>
      </c>
      <c r="G84" s="1252">
        <f t="shared" si="9"/>
        <v>29553.471616680003</v>
      </c>
      <c r="H84" s="1252">
        <f t="shared" si="9"/>
        <v>40117.265726472004</v>
      </c>
      <c r="I84" s="1252">
        <f t="shared" si="9"/>
        <v>38859.671189592009</v>
      </c>
      <c r="J84" s="1252">
        <f t="shared" si="9"/>
        <v>43512.770976048007</v>
      </c>
      <c r="K84" s="1252">
        <f t="shared" si="9"/>
        <v>47285.554586688006</v>
      </c>
      <c r="L84" s="1252">
        <f t="shared" si="9"/>
        <v>47285.554586688006</v>
      </c>
      <c r="M84" s="1252">
        <f t="shared" si="9"/>
        <v>49800.743660448003</v>
      </c>
      <c r="N84" s="1252">
        <f t="shared" si="9"/>
        <v>54453.843446904</v>
      </c>
      <c r="O84" s="1252">
        <f t="shared" si="9"/>
        <v>70928.331880031998</v>
      </c>
      <c r="P84" s="1251">
        <f t="shared" si="9"/>
        <v>55837.197437472001</v>
      </c>
      <c r="Q84" s="1251">
        <f t="shared" si="9"/>
        <v>55837.197437472001</v>
      </c>
      <c r="R84" s="1251">
        <f t="shared" si="9"/>
        <v>0</v>
      </c>
      <c r="S84" s="1251">
        <f t="shared" si="9"/>
        <v>0</v>
      </c>
      <c r="T84" s="1251">
        <f t="shared" si="9"/>
        <v>0</v>
      </c>
      <c r="U84" s="1251">
        <f t="shared" si="9"/>
        <v>0</v>
      </c>
      <c r="V84" s="1251">
        <f t="shared" si="9"/>
        <v>0</v>
      </c>
      <c r="W84" s="1251">
        <f t="shared" si="9"/>
        <v>0</v>
      </c>
      <c r="X84" s="1251">
        <f t="shared" si="9"/>
        <v>0</v>
      </c>
      <c r="Y84" s="1251">
        <f t="shared" si="9"/>
        <v>0</v>
      </c>
      <c r="Z84" s="1251">
        <f t="shared" si="9"/>
        <v>0</v>
      </c>
      <c r="AA84" s="1251">
        <f t="shared" si="9"/>
        <v>0</v>
      </c>
      <c r="AB84" s="1251">
        <f t="shared" si="9"/>
        <v>0</v>
      </c>
      <c r="AC84" s="1251">
        <f t="shared" si="9"/>
        <v>0</v>
      </c>
      <c r="AD84" s="1251">
        <f t="shared" si="9"/>
        <v>0</v>
      </c>
      <c r="AE84" s="1251">
        <f t="shared" si="9"/>
        <v>0</v>
      </c>
      <c r="AF84" s="1251">
        <f t="shared" si="9"/>
        <v>0</v>
      </c>
      <c r="AG84" s="1251">
        <f t="shared" si="9"/>
        <v>0</v>
      </c>
      <c r="AH84" s="1251">
        <f t="shared" si="9"/>
        <v>0</v>
      </c>
      <c r="AI84" s="1252">
        <f t="shared" si="5"/>
        <v>591069.43233360001</v>
      </c>
      <c r="AJ84" s="975"/>
    </row>
    <row r="85" spans="1:37" x14ac:dyDescent="0.15">
      <c r="B85" s="1253" t="s">
        <v>2107</v>
      </c>
      <c r="C85" s="609">
        <f t="shared" ref="C85:AH85" si="10">C78*$E$36</f>
        <v>0</v>
      </c>
      <c r="D85" s="609">
        <f t="shared" si="10"/>
        <v>0</v>
      </c>
      <c r="E85" s="609">
        <f t="shared" si="10"/>
        <v>401936.60970390163</v>
      </c>
      <c r="F85" s="609">
        <f t="shared" si="10"/>
        <v>401936.60970390163</v>
      </c>
      <c r="G85" s="609">
        <f t="shared" si="10"/>
        <v>51004.369800000008</v>
      </c>
      <c r="H85" s="609">
        <f t="shared" si="10"/>
        <v>61205.243760000005</v>
      </c>
      <c r="I85" s="609">
        <f t="shared" si="10"/>
        <v>51004.369800000008</v>
      </c>
      <c r="J85" s="609">
        <f t="shared" si="10"/>
        <v>51004.369800000008</v>
      </c>
      <c r="K85" s="609">
        <f t="shared" si="10"/>
        <v>0</v>
      </c>
      <c r="L85" s="609">
        <f t="shared" si="10"/>
        <v>0</v>
      </c>
      <c r="M85" s="609">
        <f t="shared" si="10"/>
        <v>0</v>
      </c>
      <c r="N85" s="609">
        <f t="shared" si="10"/>
        <v>0</v>
      </c>
      <c r="O85" s="609">
        <f t="shared" si="10"/>
        <v>0</v>
      </c>
      <c r="P85" s="609">
        <f t="shared" si="10"/>
        <v>0</v>
      </c>
      <c r="Q85" s="609">
        <f t="shared" si="10"/>
        <v>0</v>
      </c>
      <c r="R85" s="609">
        <f t="shared" si="10"/>
        <v>0</v>
      </c>
      <c r="S85" s="609">
        <f t="shared" si="10"/>
        <v>0</v>
      </c>
      <c r="T85" s="609">
        <f t="shared" si="10"/>
        <v>0</v>
      </c>
      <c r="U85" s="609">
        <f t="shared" si="10"/>
        <v>0</v>
      </c>
      <c r="V85" s="609">
        <f t="shared" si="10"/>
        <v>0</v>
      </c>
      <c r="W85" s="609">
        <f t="shared" si="10"/>
        <v>0</v>
      </c>
      <c r="X85" s="609">
        <f t="shared" si="10"/>
        <v>0</v>
      </c>
      <c r="Y85" s="609">
        <f t="shared" si="10"/>
        <v>0</v>
      </c>
      <c r="Z85" s="609">
        <f t="shared" si="10"/>
        <v>0</v>
      </c>
      <c r="AA85" s="609">
        <f t="shared" si="10"/>
        <v>0</v>
      </c>
      <c r="AB85" s="609">
        <f t="shared" si="10"/>
        <v>0</v>
      </c>
      <c r="AC85" s="609">
        <f t="shared" si="10"/>
        <v>0</v>
      </c>
      <c r="AD85" s="609">
        <f t="shared" si="10"/>
        <v>0</v>
      </c>
      <c r="AE85" s="609">
        <f t="shared" si="10"/>
        <v>0</v>
      </c>
      <c r="AF85" s="609">
        <f t="shared" si="10"/>
        <v>0</v>
      </c>
      <c r="AG85" s="609">
        <f t="shared" si="10"/>
        <v>0</v>
      </c>
      <c r="AH85" s="609">
        <f t="shared" si="10"/>
        <v>0</v>
      </c>
      <c r="AI85" s="611">
        <f t="shared" si="5"/>
        <v>1018091.5725678032</v>
      </c>
      <c r="AJ85" s="975"/>
      <c r="AK85" s="1077" t="b">
        <f>AI85=C36</f>
        <v>0</v>
      </c>
    </row>
    <row r="86" spans="1:37" x14ac:dyDescent="0.15">
      <c r="B86" s="1253" t="s">
        <v>2108</v>
      </c>
      <c r="C86" s="609">
        <f t="shared" ref="C86:AH86" si="11">C78*($G$30+$H$19)</f>
        <v>0</v>
      </c>
      <c r="D86" s="609">
        <f t="shared" si="11"/>
        <v>0</v>
      </c>
      <c r="E86" s="609">
        <f t="shared" si="11"/>
        <v>401.93660970390164</v>
      </c>
      <c r="F86" s="609">
        <f t="shared" si="11"/>
        <v>401.93660970390164</v>
      </c>
      <c r="G86" s="609">
        <f t="shared" si="11"/>
        <v>51.004369800000006</v>
      </c>
      <c r="H86" s="609">
        <f t="shared" si="11"/>
        <v>61.205243760000002</v>
      </c>
      <c r="I86" s="609">
        <f t="shared" si="11"/>
        <v>51.004369800000006</v>
      </c>
      <c r="J86" s="609">
        <f t="shared" si="11"/>
        <v>51.004369800000006</v>
      </c>
      <c r="K86" s="609">
        <f t="shared" si="11"/>
        <v>0</v>
      </c>
      <c r="L86" s="609">
        <f t="shared" si="11"/>
        <v>0</v>
      </c>
      <c r="M86" s="609">
        <f t="shared" si="11"/>
        <v>0</v>
      </c>
      <c r="N86" s="609">
        <f t="shared" si="11"/>
        <v>0</v>
      </c>
      <c r="O86" s="609">
        <f t="shared" si="11"/>
        <v>0</v>
      </c>
      <c r="P86" s="609">
        <f t="shared" si="11"/>
        <v>0</v>
      </c>
      <c r="Q86" s="609">
        <f t="shared" si="11"/>
        <v>0</v>
      </c>
      <c r="R86" s="609">
        <f t="shared" si="11"/>
        <v>0</v>
      </c>
      <c r="S86" s="609">
        <f t="shared" si="11"/>
        <v>0</v>
      </c>
      <c r="T86" s="609">
        <f t="shared" si="11"/>
        <v>0</v>
      </c>
      <c r="U86" s="609">
        <f t="shared" si="11"/>
        <v>0</v>
      </c>
      <c r="V86" s="609">
        <f t="shared" si="11"/>
        <v>0</v>
      </c>
      <c r="W86" s="609">
        <f t="shared" si="11"/>
        <v>0</v>
      </c>
      <c r="X86" s="609">
        <f t="shared" si="11"/>
        <v>0</v>
      </c>
      <c r="Y86" s="609">
        <f t="shared" si="11"/>
        <v>0</v>
      </c>
      <c r="Z86" s="609">
        <f t="shared" si="11"/>
        <v>0</v>
      </c>
      <c r="AA86" s="609">
        <f t="shared" si="11"/>
        <v>0</v>
      </c>
      <c r="AB86" s="609">
        <f t="shared" si="11"/>
        <v>0</v>
      </c>
      <c r="AC86" s="609">
        <f t="shared" si="11"/>
        <v>0</v>
      </c>
      <c r="AD86" s="609">
        <f t="shared" si="11"/>
        <v>0</v>
      </c>
      <c r="AE86" s="609">
        <f t="shared" si="11"/>
        <v>0</v>
      </c>
      <c r="AF86" s="609">
        <f t="shared" si="11"/>
        <v>0</v>
      </c>
      <c r="AG86" s="609">
        <f t="shared" si="11"/>
        <v>0</v>
      </c>
      <c r="AH86" s="609">
        <f t="shared" si="11"/>
        <v>0</v>
      </c>
      <c r="AI86" s="611">
        <f t="shared" si="5"/>
        <v>1018.0915725678033</v>
      </c>
      <c r="AJ86" s="975"/>
      <c r="AK86" s="973" t="e">
        <f>AI86=#REF!</f>
        <v>#REF!</v>
      </c>
    </row>
    <row r="87" spans="1:37" ht="12" thickBot="1" x14ac:dyDescent="0.2">
      <c r="B87" s="1246" t="s">
        <v>2109</v>
      </c>
      <c r="C87" s="1247">
        <f>C85/43560</f>
        <v>0</v>
      </c>
      <c r="D87" s="1247">
        <f t="shared" ref="D87:AH87" si="12">D85/43560</f>
        <v>0</v>
      </c>
      <c r="E87" s="1247">
        <f>$E$35*E78</f>
        <v>20.096830485195081</v>
      </c>
      <c r="F87" s="1247">
        <f t="shared" ref="F87:G87" si="13">$E$35*F78</f>
        <v>20.096830485195081</v>
      </c>
      <c r="G87" s="1247">
        <f t="shared" si="13"/>
        <v>2.5502184900000002</v>
      </c>
      <c r="H87" s="1247">
        <f>$E$35*H78</f>
        <v>3.0602621879999998</v>
      </c>
      <c r="I87" s="1247">
        <f>$E$35*I78</f>
        <v>2.5502184900000002</v>
      </c>
      <c r="J87" s="1247">
        <f>$E$35*J78</f>
        <v>2.5502184900000002</v>
      </c>
      <c r="K87" s="1247">
        <f t="shared" si="12"/>
        <v>0</v>
      </c>
      <c r="L87" s="1247">
        <f t="shared" si="12"/>
        <v>0</v>
      </c>
      <c r="M87" s="1247">
        <f t="shared" si="12"/>
        <v>0</v>
      </c>
      <c r="N87" s="1247">
        <f t="shared" si="12"/>
        <v>0</v>
      </c>
      <c r="O87" s="1247">
        <f t="shared" si="12"/>
        <v>0</v>
      </c>
      <c r="P87" s="1247">
        <f t="shared" si="12"/>
        <v>0</v>
      </c>
      <c r="Q87" s="1247">
        <f t="shared" si="12"/>
        <v>0</v>
      </c>
      <c r="R87" s="1247">
        <f t="shared" si="12"/>
        <v>0</v>
      </c>
      <c r="S87" s="1247">
        <f t="shared" si="12"/>
        <v>0</v>
      </c>
      <c r="T87" s="1247">
        <f t="shared" si="12"/>
        <v>0</v>
      </c>
      <c r="U87" s="1247">
        <f t="shared" si="12"/>
        <v>0</v>
      </c>
      <c r="V87" s="1247">
        <f t="shared" si="12"/>
        <v>0</v>
      </c>
      <c r="W87" s="1247">
        <f t="shared" si="12"/>
        <v>0</v>
      </c>
      <c r="X87" s="1247">
        <f t="shared" si="12"/>
        <v>0</v>
      </c>
      <c r="Y87" s="1247">
        <f t="shared" si="12"/>
        <v>0</v>
      </c>
      <c r="Z87" s="1247">
        <f t="shared" si="12"/>
        <v>0</v>
      </c>
      <c r="AA87" s="1247">
        <f t="shared" si="12"/>
        <v>0</v>
      </c>
      <c r="AB87" s="1247">
        <f t="shared" si="12"/>
        <v>0</v>
      </c>
      <c r="AC87" s="1247">
        <f t="shared" si="12"/>
        <v>0</v>
      </c>
      <c r="AD87" s="1247">
        <f t="shared" si="12"/>
        <v>0</v>
      </c>
      <c r="AE87" s="1247">
        <f t="shared" si="12"/>
        <v>0</v>
      </c>
      <c r="AF87" s="1247">
        <f t="shared" si="12"/>
        <v>0</v>
      </c>
      <c r="AG87" s="1247">
        <f t="shared" si="12"/>
        <v>0</v>
      </c>
      <c r="AH87" s="1247">
        <f t="shared" si="12"/>
        <v>0</v>
      </c>
      <c r="AI87" s="1254">
        <f t="shared" si="5"/>
        <v>50.904578628390162</v>
      </c>
      <c r="AJ87" s="975"/>
      <c r="AK87" s="973" t="e">
        <f>AI87=#REF!</f>
        <v>#REF!</v>
      </c>
    </row>
    <row r="88" spans="1:37" ht="12" thickTop="1" x14ac:dyDescent="0.15">
      <c r="B88" s="1255" t="s">
        <v>2110</v>
      </c>
      <c r="C88" s="1256">
        <f>SUM(C86)</f>
        <v>0</v>
      </c>
      <c r="D88" s="1256">
        <f t="shared" ref="D88:AH88" si="14">SUM(D86)</f>
        <v>0</v>
      </c>
      <c r="E88" s="1256">
        <f>SUM(E86)</f>
        <v>401.93660970390164</v>
      </c>
      <c r="F88" s="1256">
        <f t="shared" si="14"/>
        <v>401.93660970390164</v>
      </c>
      <c r="G88" s="1256">
        <f t="shared" si="14"/>
        <v>51.004369800000006</v>
      </c>
      <c r="H88" s="1256">
        <f t="shared" si="14"/>
        <v>61.205243760000002</v>
      </c>
      <c r="I88" s="1256">
        <f t="shared" si="14"/>
        <v>51.004369800000006</v>
      </c>
      <c r="J88" s="1256">
        <f t="shared" si="14"/>
        <v>51.004369800000006</v>
      </c>
      <c r="K88" s="1256">
        <f t="shared" si="14"/>
        <v>0</v>
      </c>
      <c r="L88" s="1256">
        <f t="shared" si="14"/>
        <v>0</v>
      </c>
      <c r="M88" s="1256">
        <f t="shared" si="14"/>
        <v>0</v>
      </c>
      <c r="N88" s="1256">
        <f t="shared" si="14"/>
        <v>0</v>
      </c>
      <c r="O88" s="1256">
        <f t="shared" si="14"/>
        <v>0</v>
      </c>
      <c r="P88" s="1256">
        <f t="shared" si="14"/>
        <v>0</v>
      </c>
      <c r="Q88" s="1256">
        <f t="shared" si="14"/>
        <v>0</v>
      </c>
      <c r="R88" s="1256">
        <f t="shared" si="14"/>
        <v>0</v>
      </c>
      <c r="S88" s="1256">
        <f t="shared" si="14"/>
        <v>0</v>
      </c>
      <c r="T88" s="1256">
        <f t="shared" si="14"/>
        <v>0</v>
      </c>
      <c r="U88" s="1256">
        <f t="shared" si="14"/>
        <v>0</v>
      </c>
      <c r="V88" s="1256">
        <f t="shared" si="14"/>
        <v>0</v>
      </c>
      <c r="W88" s="1256">
        <f t="shared" si="14"/>
        <v>0</v>
      </c>
      <c r="X88" s="1256">
        <f t="shared" si="14"/>
        <v>0</v>
      </c>
      <c r="Y88" s="1256">
        <f t="shared" si="14"/>
        <v>0</v>
      </c>
      <c r="Z88" s="1256">
        <f t="shared" si="14"/>
        <v>0</v>
      </c>
      <c r="AA88" s="1256">
        <f t="shared" si="14"/>
        <v>0</v>
      </c>
      <c r="AB88" s="1256">
        <f t="shared" si="14"/>
        <v>0</v>
      </c>
      <c r="AC88" s="1256">
        <f t="shared" si="14"/>
        <v>0</v>
      </c>
      <c r="AD88" s="1256">
        <f t="shared" si="14"/>
        <v>0</v>
      </c>
      <c r="AE88" s="1256">
        <f t="shared" si="14"/>
        <v>0</v>
      </c>
      <c r="AF88" s="1256">
        <f t="shared" si="14"/>
        <v>0</v>
      </c>
      <c r="AG88" s="1256">
        <f t="shared" si="14"/>
        <v>0</v>
      </c>
      <c r="AH88" s="1256">
        <f t="shared" si="14"/>
        <v>0</v>
      </c>
      <c r="AI88" s="1256">
        <f>SUM(C88:AH88)</f>
        <v>1018.0915725678033</v>
      </c>
      <c r="AJ88" s="975"/>
      <c r="AK88" s="973" t="b">
        <f>AI86=AI88</f>
        <v>1</v>
      </c>
    </row>
    <row r="89" spans="1:37" x14ac:dyDescent="0.15">
      <c r="B89" s="1253"/>
      <c r="C89" s="611"/>
      <c r="D89" s="611"/>
      <c r="E89" s="611"/>
      <c r="F89" s="611"/>
      <c r="G89" s="611"/>
      <c r="H89" s="611"/>
      <c r="I89" s="611"/>
      <c r="J89" s="611"/>
      <c r="K89" s="611"/>
      <c r="L89" s="611"/>
      <c r="M89" s="611"/>
      <c r="N89" s="611"/>
      <c r="O89" s="611"/>
      <c r="P89" s="611"/>
      <c r="Q89" s="611"/>
      <c r="R89" s="611"/>
      <c r="S89" s="611"/>
      <c r="T89" s="611"/>
      <c r="U89" s="611"/>
      <c r="V89" s="611"/>
      <c r="W89" s="611"/>
      <c r="X89" s="611"/>
      <c r="Y89" s="611"/>
      <c r="Z89" s="611"/>
      <c r="AA89" s="611"/>
      <c r="AB89" s="611"/>
      <c r="AC89" s="611"/>
      <c r="AD89" s="611"/>
      <c r="AE89" s="611"/>
      <c r="AF89" s="611"/>
      <c r="AG89" s="611"/>
      <c r="AH89" s="611"/>
      <c r="AI89" s="611"/>
      <c r="AJ89" s="975"/>
    </row>
    <row r="90" spans="1:37" x14ac:dyDescent="0.15">
      <c r="B90" s="585" t="s">
        <v>2111</v>
      </c>
      <c r="C90" s="607">
        <f t="shared" ref="C90:AH90" si="15">C75</f>
        <v>2018</v>
      </c>
      <c r="D90" s="607">
        <f t="shared" si="15"/>
        <v>2019</v>
      </c>
      <c r="E90" s="607">
        <f t="shared" si="15"/>
        <v>2020</v>
      </c>
      <c r="F90" s="607">
        <f t="shared" si="15"/>
        <v>2021</v>
      </c>
      <c r="G90" s="607">
        <f t="shared" si="15"/>
        <v>2022</v>
      </c>
      <c r="H90" s="607">
        <f t="shared" si="15"/>
        <v>2023</v>
      </c>
      <c r="I90" s="607">
        <f t="shared" si="15"/>
        <v>2024</v>
      </c>
      <c r="J90" s="607">
        <f t="shared" si="15"/>
        <v>2025</v>
      </c>
      <c r="K90" s="607">
        <f t="shared" si="15"/>
        <v>2026</v>
      </c>
      <c r="L90" s="607">
        <f t="shared" si="15"/>
        <v>2027</v>
      </c>
      <c r="M90" s="607">
        <f t="shared" si="15"/>
        <v>2028</v>
      </c>
      <c r="N90" s="607">
        <f t="shared" si="15"/>
        <v>2029</v>
      </c>
      <c r="O90" s="607">
        <f t="shared" si="15"/>
        <v>2030</v>
      </c>
      <c r="P90" s="607">
        <f t="shared" si="15"/>
        <v>2031</v>
      </c>
      <c r="Q90" s="607">
        <f t="shared" si="15"/>
        <v>2032</v>
      </c>
      <c r="R90" s="607">
        <f t="shared" si="15"/>
        <v>2033</v>
      </c>
      <c r="S90" s="607">
        <f t="shared" si="15"/>
        <v>2034</v>
      </c>
      <c r="T90" s="607">
        <f t="shared" si="15"/>
        <v>2035</v>
      </c>
      <c r="U90" s="607">
        <f t="shared" si="15"/>
        <v>2036</v>
      </c>
      <c r="V90" s="607">
        <f t="shared" si="15"/>
        <v>2037</v>
      </c>
      <c r="W90" s="607">
        <f t="shared" si="15"/>
        <v>2038</v>
      </c>
      <c r="X90" s="607">
        <f t="shared" si="15"/>
        <v>2039</v>
      </c>
      <c r="Y90" s="607">
        <f t="shared" si="15"/>
        <v>2040</v>
      </c>
      <c r="Z90" s="607">
        <f t="shared" si="15"/>
        <v>2041</v>
      </c>
      <c r="AA90" s="607">
        <f t="shared" si="15"/>
        <v>2042</v>
      </c>
      <c r="AB90" s="607">
        <f t="shared" si="15"/>
        <v>2043</v>
      </c>
      <c r="AC90" s="607">
        <f t="shared" si="15"/>
        <v>2044</v>
      </c>
      <c r="AD90" s="607">
        <f t="shared" si="15"/>
        <v>2045</v>
      </c>
      <c r="AE90" s="607">
        <f t="shared" si="15"/>
        <v>2046</v>
      </c>
      <c r="AF90" s="607">
        <f t="shared" si="15"/>
        <v>2047</v>
      </c>
      <c r="AG90" s="607">
        <f t="shared" si="15"/>
        <v>2048</v>
      </c>
      <c r="AH90" s="607">
        <f t="shared" si="15"/>
        <v>2049</v>
      </c>
      <c r="AI90" s="978"/>
      <c r="AJ90" s="975"/>
    </row>
    <row r="91" spans="1:37" x14ac:dyDescent="0.15">
      <c r="B91" s="1105" t="str">
        <f>B81</f>
        <v>Commercial</v>
      </c>
      <c r="C91" s="611">
        <f>C81</f>
        <v>0</v>
      </c>
      <c r="D91" s="611">
        <f t="shared" ref="D91:AH91" si="16">D81+C91</f>
        <v>0</v>
      </c>
      <c r="E91" s="611">
        <f t="shared" si="16"/>
        <v>20121.512590080001</v>
      </c>
      <c r="F91" s="611">
        <f t="shared" si="16"/>
        <v>38985.43064328</v>
      </c>
      <c r="G91" s="611">
        <f t="shared" si="16"/>
        <v>45273.403327680004</v>
      </c>
      <c r="H91" s="611">
        <f t="shared" si="16"/>
        <v>52818.970548960002</v>
      </c>
      <c r="I91" s="611">
        <f t="shared" si="16"/>
        <v>59106.943233360005</v>
      </c>
      <c r="J91" s="611">
        <f t="shared" si="16"/>
        <v>65394.915917760009</v>
      </c>
      <c r="K91" s="611">
        <f t="shared" si="16"/>
        <v>75455.672212800011</v>
      </c>
      <c r="L91" s="611">
        <f t="shared" si="16"/>
        <v>85516.428507840013</v>
      </c>
      <c r="M91" s="611">
        <f t="shared" si="16"/>
        <v>98092.37387664002</v>
      </c>
      <c r="N91" s="611">
        <f t="shared" si="16"/>
        <v>110668.31924544003</v>
      </c>
      <c r="O91" s="611">
        <f t="shared" si="16"/>
        <v>125759.45368800002</v>
      </c>
      <c r="P91" s="611">
        <f t="shared" si="16"/>
        <v>125759.45368800002</v>
      </c>
      <c r="Q91" s="611">
        <f t="shared" si="16"/>
        <v>125759.45368800002</v>
      </c>
      <c r="R91" s="611">
        <f t="shared" si="16"/>
        <v>125759.45368800002</v>
      </c>
      <c r="S91" s="611">
        <f t="shared" si="16"/>
        <v>125759.45368800002</v>
      </c>
      <c r="T91" s="611">
        <f t="shared" si="16"/>
        <v>125759.45368800002</v>
      </c>
      <c r="U91" s="611">
        <f t="shared" si="16"/>
        <v>125759.45368800002</v>
      </c>
      <c r="V91" s="611">
        <f t="shared" si="16"/>
        <v>125759.45368800002</v>
      </c>
      <c r="W91" s="611">
        <f t="shared" si="16"/>
        <v>125759.45368800002</v>
      </c>
      <c r="X91" s="611">
        <f t="shared" si="16"/>
        <v>125759.45368800002</v>
      </c>
      <c r="Y91" s="611">
        <f t="shared" si="16"/>
        <v>125759.45368800002</v>
      </c>
      <c r="Z91" s="611">
        <f t="shared" si="16"/>
        <v>125759.45368800002</v>
      </c>
      <c r="AA91" s="611">
        <f t="shared" si="16"/>
        <v>125759.45368800002</v>
      </c>
      <c r="AB91" s="611">
        <f t="shared" si="16"/>
        <v>125759.45368800002</v>
      </c>
      <c r="AC91" s="611">
        <f t="shared" si="16"/>
        <v>125759.45368800002</v>
      </c>
      <c r="AD91" s="611">
        <f t="shared" si="16"/>
        <v>125759.45368800002</v>
      </c>
      <c r="AE91" s="611">
        <f t="shared" si="16"/>
        <v>125759.45368800002</v>
      </c>
      <c r="AF91" s="611">
        <f t="shared" si="16"/>
        <v>125759.45368800002</v>
      </c>
      <c r="AG91" s="611">
        <f t="shared" si="16"/>
        <v>125759.45368800002</v>
      </c>
      <c r="AH91" s="611">
        <f t="shared" si="16"/>
        <v>125759.45368800002</v>
      </c>
      <c r="AI91" s="1257"/>
      <c r="AJ91" s="975"/>
    </row>
    <row r="92" spans="1:37" x14ac:dyDescent="0.15">
      <c r="B92" s="1105" t="str">
        <f>B82</f>
        <v>Office</v>
      </c>
      <c r="C92" s="611">
        <f>C82</f>
        <v>0</v>
      </c>
      <c r="D92" s="611">
        <f t="shared" ref="D92:AH92" si="17">D82+C92</f>
        <v>0</v>
      </c>
      <c r="E92" s="611">
        <f t="shared" si="17"/>
        <v>0</v>
      </c>
      <c r="F92" s="611">
        <f t="shared" si="17"/>
        <v>18612.399145824002</v>
      </c>
      <c r="G92" s="611">
        <f t="shared" si="17"/>
        <v>41877.898078104001</v>
      </c>
      <c r="H92" s="611">
        <f t="shared" si="17"/>
        <v>74449.596583296006</v>
      </c>
      <c r="I92" s="611">
        <f t="shared" si="17"/>
        <v>107021.29508848801</v>
      </c>
      <c r="J92" s="611">
        <f t="shared" si="17"/>
        <v>144246.09338013601</v>
      </c>
      <c r="K92" s="611">
        <f t="shared" si="17"/>
        <v>181470.89167178402</v>
      </c>
      <c r="L92" s="611">
        <f t="shared" si="17"/>
        <v>218695.68996343203</v>
      </c>
      <c r="M92" s="611">
        <f t="shared" si="17"/>
        <v>255920.48825508004</v>
      </c>
      <c r="N92" s="611">
        <f t="shared" si="17"/>
        <v>297798.38633318403</v>
      </c>
      <c r="O92" s="611">
        <f t="shared" si="17"/>
        <v>353635.58377065603</v>
      </c>
      <c r="P92" s="611">
        <f t="shared" si="17"/>
        <v>409472.78120812803</v>
      </c>
      <c r="Q92" s="611">
        <f t="shared" si="17"/>
        <v>465309.97864560003</v>
      </c>
      <c r="R92" s="611">
        <f t="shared" si="17"/>
        <v>465309.97864560003</v>
      </c>
      <c r="S92" s="611">
        <f t="shared" si="17"/>
        <v>465309.97864560003</v>
      </c>
      <c r="T92" s="611">
        <f t="shared" si="17"/>
        <v>465309.97864560003</v>
      </c>
      <c r="U92" s="611">
        <f t="shared" si="17"/>
        <v>465309.97864560003</v>
      </c>
      <c r="V92" s="611">
        <f t="shared" si="17"/>
        <v>465309.97864560003</v>
      </c>
      <c r="W92" s="611">
        <f t="shared" si="17"/>
        <v>465309.97864560003</v>
      </c>
      <c r="X92" s="611">
        <f t="shared" si="17"/>
        <v>465309.97864560003</v>
      </c>
      <c r="Y92" s="611">
        <f t="shared" si="17"/>
        <v>465309.97864560003</v>
      </c>
      <c r="Z92" s="611">
        <f t="shared" si="17"/>
        <v>465309.97864560003</v>
      </c>
      <c r="AA92" s="611">
        <f t="shared" si="17"/>
        <v>465309.97864560003</v>
      </c>
      <c r="AB92" s="611">
        <f t="shared" si="17"/>
        <v>465309.97864560003</v>
      </c>
      <c r="AC92" s="611">
        <f t="shared" si="17"/>
        <v>465309.97864560003</v>
      </c>
      <c r="AD92" s="611">
        <f t="shared" si="17"/>
        <v>465309.97864560003</v>
      </c>
      <c r="AE92" s="611">
        <f t="shared" si="17"/>
        <v>465309.97864560003</v>
      </c>
      <c r="AF92" s="611">
        <f t="shared" si="17"/>
        <v>465309.97864560003</v>
      </c>
      <c r="AG92" s="611">
        <f t="shared" si="17"/>
        <v>465309.97864560003</v>
      </c>
      <c r="AH92" s="611">
        <f t="shared" si="17"/>
        <v>465309.97864560003</v>
      </c>
      <c r="AI92" s="1257"/>
    </row>
    <row r="93" spans="1:37" ht="12" thickBot="1" x14ac:dyDescent="0.2">
      <c r="B93" s="1246" t="s">
        <v>2105</v>
      </c>
      <c r="C93" s="1254">
        <f t="shared" ref="C93:C98" si="18">C83</f>
        <v>0</v>
      </c>
      <c r="D93" s="1254">
        <f t="shared" ref="D93:AH93" si="19">D83+C93</f>
        <v>0</v>
      </c>
      <c r="E93" s="1254">
        <f t="shared" si="19"/>
        <v>1.5397545600000002</v>
      </c>
      <c r="F93" s="1254">
        <f t="shared" si="19"/>
        <v>4.4075474280000009</v>
      </c>
      <c r="G93" s="1254">
        <f t="shared" si="19"/>
        <v>6.6690619380000014</v>
      </c>
      <c r="H93" s="1254">
        <f t="shared" si="19"/>
        <v>9.7389475920000024</v>
      </c>
      <c r="I93" s="1254">
        <f t="shared" si="19"/>
        <v>12.712598586000002</v>
      </c>
      <c r="J93" s="1254">
        <f t="shared" si="19"/>
        <v>16.042317822000001</v>
      </c>
      <c r="K93" s="1254">
        <f t="shared" si="19"/>
        <v>19.660741038000001</v>
      </c>
      <c r="L93" s="1254">
        <f t="shared" si="19"/>
        <v>23.279164254000001</v>
      </c>
      <c r="M93" s="1254">
        <f t="shared" si="19"/>
        <v>27.090056790000002</v>
      </c>
      <c r="N93" s="1254">
        <f t="shared" si="19"/>
        <v>31.257017568000002</v>
      </c>
      <c r="O93" s="1254">
        <f t="shared" si="19"/>
        <v>36.684652392000004</v>
      </c>
      <c r="P93" s="1254">
        <f t="shared" si="19"/>
        <v>40.957471296000001</v>
      </c>
      <c r="Q93" s="1254">
        <f t="shared" si="19"/>
        <v>45.230290199999999</v>
      </c>
      <c r="R93" s="1254">
        <f t="shared" si="19"/>
        <v>45.230290199999999</v>
      </c>
      <c r="S93" s="1254">
        <f t="shared" si="19"/>
        <v>45.230290199999999</v>
      </c>
      <c r="T93" s="1254">
        <f t="shared" si="19"/>
        <v>45.230290199999999</v>
      </c>
      <c r="U93" s="1254">
        <f t="shared" si="19"/>
        <v>45.230290199999999</v>
      </c>
      <c r="V93" s="1254">
        <f t="shared" si="19"/>
        <v>45.230290199999999</v>
      </c>
      <c r="W93" s="1254">
        <f t="shared" si="19"/>
        <v>45.230290199999999</v>
      </c>
      <c r="X93" s="1254">
        <f t="shared" si="19"/>
        <v>45.230290199999999</v>
      </c>
      <c r="Y93" s="1254">
        <f t="shared" si="19"/>
        <v>45.230290199999999</v>
      </c>
      <c r="Z93" s="1254">
        <f t="shared" si="19"/>
        <v>45.230290199999999</v>
      </c>
      <c r="AA93" s="1254">
        <f t="shared" si="19"/>
        <v>45.230290199999999</v>
      </c>
      <c r="AB93" s="1254">
        <f t="shared" si="19"/>
        <v>45.230290199999999</v>
      </c>
      <c r="AC93" s="1254">
        <f t="shared" si="19"/>
        <v>45.230290199999999</v>
      </c>
      <c r="AD93" s="1254">
        <f t="shared" si="19"/>
        <v>45.230290199999999</v>
      </c>
      <c r="AE93" s="1254">
        <f t="shared" si="19"/>
        <v>45.230290199999999</v>
      </c>
      <c r="AF93" s="1254">
        <f t="shared" si="19"/>
        <v>45.230290199999999</v>
      </c>
      <c r="AG93" s="1254">
        <f t="shared" si="19"/>
        <v>45.230290199999999</v>
      </c>
      <c r="AH93" s="1254">
        <f t="shared" si="19"/>
        <v>45.230290199999999</v>
      </c>
      <c r="AI93" s="1257"/>
    </row>
    <row r="94" spans="1:37" ht="13" thickTop="1" thickBot="1" x14ac:dyDescent="0.2">
      <c r="B94" s="1250" t="s">
        <v>2106</v>
      </c>
      <c r="C94" s="1252">
        <f t="shared" si="18"/>
        <v>0</v>
      </c>
      <c r="D94" s="1252">
        <f t="shared" ref="D94:AH94" si="20">D84+C94</f>
        <v>0</v>
      </c>
      <c r="E94" s="1252">
        <f t="shared" si="20"/>
        <v>20121.512590080001</v>
      </c>
      <c r="F94" s="1252">
        <f t="shared" si="20"/>
        <v>57597.829789103998</v>
      </c>
      <c r="G94" s="1252">
        <f t="shared" si="20"/>
        <v>87151.301405784005</v>
      </c>
      <c r="H94" s="1252">
        <f t="shared" si="20"/>
        <v>127268.56713225601</v>
      </c>
      <c r="I94" s="1252">
        <f t="shared" si="20"/>
        <v>166128.23832184801</v>
      </c>
      <c r="J94" s="1252">
        <f t="shared" si="20"/>
        <v>209641.009297896</v>
      </c>
      <c r="K94" s="1252">
        <f t="shared" si="20"/>
        <v>256926.563884584</v>
      </c>
      <c r="L94" s="1252">
        <f t="shared" si="20"/>
        <v>304212.118471272</v>
      </c>
      <c r="M94" s="1252">
        <f t="shared" si="20"/>
        <v>354012.86213172</v>
      </c>
      <c r="N94" s="1252">
        <f t="shared" si="20"/>
        <v>408466.70557862398</v>
      </c>
      <c r="O94" s="1252">
        <f t="shared" si="20"/>
        <v>479395.03745865601</v>
      </c>
      <c r="P94" s="1252">
        <f t="shared" si="20"/>
        <v>535232.23489612807</v>
      </c>
      <c r="Q94" s="1252">
        <f t="shared" si="20"/>
        <v>591069.43233360001</v>
      </c>
      <c r="R94" s="1252">
        <f t="shared" si="20"/>
        <v>591069.43233360001</v>
      </c>
      <c r="S94" s="1252">
        <f t="shared" si="20"/>
        <v>591069.43233360001</v>
      </c>
      <c r="T94" s="1252">
        <f t="shared" si="20"/>
        <v>591069.43233360001</v>
      </c>
      <c r="U94" s="1252">
        <f t="shared" si="20"/>
        <v>591069.43233360001</v>
      </c>
      <c r="V94" s="1252">
        <f t="shared" si="20"/>
        <v>591069.43233360001</v>
      </c>
      <c r="W94" s="1252">
        <f t="shared" si="20"/>
        <v>591069.43233360001</v>
      </c>
      <c r="X94" s="1252">
        <f t="shared" si="20"/>
        <v>591069.43233360001</v>
      </c>
      <c r="Y94" s="1252">
        <f t="shared" si="20"/>
        <v>591069.43233360001</v>
      </c>
      <c r="Z94" s="1252">
        <f t="shared" si="20"/>
        <v>591069.43233360001</v>
      </c>
      <c r="AA94" s="1252">
        <f t="shared" si="20"/>
        <v>591069.43233360001</v>
      </c>
      <c r="AB94" s="1252">
        <f t="shared" si="20"/>
        <v>591069.43233360001</v>
      </c>
      <c r="AC94" s="1252">
        <f t="shared" si="20"/>
        <v>591069.43233360001</v>
      </c>
      <c r="AD94" s="1252">
        <f t="shared" si="20"/>
        <v>591069.43233360001</v>
      </c>
      <c r="AE94" s="1252">
        <f t="shared" si="20"/>
        <v>591069.43233360001</v>
      </c>
      <c r="AF94" s="1252">
        <f t="shared" si="20"/>
        <v>591069.43233360001</v>
      </c>
      <c r="AG94" s="1252">
        <f t="shared" si="20"/>
        <v>591069.43233360001</v>
      </c>
      <c r="AH94" s="1252">
        <f t="shared" si="20"/>
        <v>591069.43233360001</v>
      </c>
      <c r="AI94" s="611"/>
    </row>
    <row r="95" spans="1:37" x14ac:dyDescent="0.15">
      <c r="B95" s="1253" t="s">
        <v>26</v>
      </c>
      <c r="C95" s="611">
        <f t="shared" si="18"/>
        <v>0</v>
      </c>
      <c r="D95" s="611">
        <f t="shared" ref="D95:AH95" si="21">D85+C95</f>
        <v>0</v>
      </c>
      <c r="E95" s="611">
        <f t="shared" si="21"/>
        <v>401936.60970390163</v>
      </c>
      <c r="F95" s="611">
        <f t="shared" si="21"/>
        <v>803873.21940780326</v>
      </c>
      <c r="G95" s="611">
        <f t="shared" si="21"/>
        <v>854877.58920780325</v>
      </c>
      <c r="H95" s="611">
        <f t="shared" si="21"/>
        <v>916082.83296780323</v>
      </c>
      <c r="I95" s="611">
        <f t="shared" si="21"/>
        <v>967087.20276780322</v>
      </c>
      <c r="J95" s="611">
        <f t="shared" si="21"/>
        <v>1018091.5725678032</v>
      </c>
      <c r="K95" s="611">
        <f t="shared" si="21"/>
        <v>1018091.5725678032</v>
      </c>
      <c r="L95" s="611">
        <f t="shared" si="21"/>
        <v>1018091.5725678032</v>
      </c>
      <c r="M95" s="611">
        <f t="shared" si="21"/>
        <v>1018091.5725678032</v>
      </c>
      <c r="N95" s="611">
        <f t="shared" si="21"/>
        <v>1018091.5725678032</v>
      </c>
      <c r="O95" s="611">
        <f t="shared" si="21"/>
        <v>1018091.5725678032</v>
      </c>
      <c r="P95" s="611">
        <f t="shared" si="21"/>
        <v>1018091.5725678032</v>
      </c>
      <c r="Q95" s="611">
        <f t="shared" si="21"/>
        <v>1018091.5725678032</v>
      </c>
      <c r="R95" s="611">
        <f t="shared" si="21"/>
        <v>1018091.5725678032</v>
      </c>
      <c r="S95" s="611">
        <f t="shared" si="21"/>
        <v>1018091.5725678032</v>
      </c>
      <c r="T95" s="611">
        <f t="shared" si="21"/>
        <v>1018091.5725678032</v>
      </c>
      <c r="U95" s="611">
        <f t="shared" si="21"/>
        <v>1018091.5725678032</v>
      </c>
      <c r="V95" s="611">
        <f t="shared" si="21"/>
        <v>1018091.5725678032</v>
      </c>
      <c r="W95" s="611">
        <f t="shared" si="21"/>
        <v>1018091.5725678032</v>
      </c>
      <c r="X95" s="611">
        <f t="shared" si="21"/>
        <v>1018091.5725678032</v>
      </c>
      <c r="Y95" s="611">
        <f t="shared" si="21"/>
        <v>1018091.5725678032</v>
      </c>
      <c r="Z95" s="611">
        <f t="shared" si="21"/>
        <v>1018091.5725678032</v>
      </c>
      <c r="AA95" s="611">
        <f t="shared" si="21"/>
        <v>1018091.5725678032</v>
      </c>
      <c r="AB95" s="611">
        <f t="shared" si="21"/>
        <v>1018091.5725678032</v>
      </c>
      <c r="AC95" s="611">
        <f t="shared" si="21"/>
        <v>1018091.5725678032</v>
      </c>
      <c r="AD95" s="611">
        <f t="shared" si="21"/>
        <v>1018091.5725678032</v>
      </c>
      <c r="AE95" s="611">
        <f t="shared" si="21"/>
        <v>1018091.5725678032</v>
      </c>
      <c r="AF95" s="611">
        <f t="shared" si="21"/>
        <v>1018091.5725678032</v>
      </c>
      <c r="AG95" s="611">
        <f t="shared" si="21"/>
        <v>1018091.5725678032</v>
      </c>
      <c r="AH95" s="611">
        <f t="shared" si="21"/>
        <v>1018091.5725678032</v>
      </c>
      <c r="AI95" s="611"/>
    </row>
    <row r="96" spans="1:37" x14ac:dyDescent="0.15">
      <c r="B96" s="1253" t="s">
        <v>2108</v>
      </c>
      <c r="C96" s="611">
        <f t="shared" si="18"/>
        <v>0</v>
      </c>
      <c r="D96" s="611">
        <f t="shared" ref="D96:AH96" si="22">D86+C96</f>
        <v>0</v>
      </c>
      <c r="E96" s="611">
        <f t="shared" si="22"/>
        <v>401.93660970390164</v>
      </c>
      <c r="F96" s="611">
        <f t="shared" si="22"/>
        <v>803.87321940780328</v>
      </c>
      <c r="G96" s="611">
        <f t="shared" si="22"/>
        <v>854.87758920780334</v>
      </c>
      <c r="H96" s="611">
        <f t="shared" si="22"/>
        <v>916.08283296780337</v>
      </c>
      <c r="I96" s="611">
        <f t="shared" si="22"/>
        <v>967.08720276780332</v>
      </c>
      <c r="J96" s="611">
        <f t="shared" si="22"/>
        <v>1018.0915725678033</v>
      </c>
      <c r="K96" s="611">
        <f t="shared" si="22"/>
        <v>1018.0915725678033</v>
      </c>
      <c r="L96" s="611">
        <f t="shared" si="22"/>
        <v>1018.0915725678033</v>
      </c>
      <c r="M96" s="611">
        <f t="shared" si="22"/>
        <v>1018.0915725678033</v>
      </c>
      <c r="N96" s="611">
        <f t="shared" si="22"/>
        <v>1018.0915725678033</v>
      </c>
      <c r="O96" s="611">
        <f t="shared" si="22"/>
        <v>1018.0915725678033</v>
      </c>
      <c r="P96" s="611">
        <f t="shared" si="22"/>
        <v>1018.0915725678033</v>
      </c>
      <c r="Q96" s="611">
        <f t="shared" si="22"/>
        <v>1018.0915725678033</v>
      </c>
      <c r="R96" s="611">
        <f t="shared" si="22"/>
        <v>1018.0915725678033</v>
      </c>
      <c r="S96" s="611">
        <f t="shared" si="22"/>
        <v>1018.0915725678033</v>
      </c>
      <c r="T96" s="611">
        <f t="shared" si="22"/>
        <v>1018.0915725678033</v>
      </c>
      <c r="U96" s="611">
        <f t="shared" si="22"/>
        <v>1018.0915725678033</v>
      </c>
      <c r="V96" s="611">
        <f t="shared" si="22"/>
        <v>1018.0915725678033</v>
      </c>
      <c r="W96" s="611">
        <f t="shared" si="22"/>
        <v>1018.0915725678033</v>
      </c>
      <c r="X96" s="611">
        <f t="shared" si="22"/>
        <v>1018.0915725678033</v>
      </c>
      <c r="Y96" s="611">
        <f t="shared" si="22"/>
        <v>1018.0915725678033</v>
      </c>
      <c r="Z96" s="611">
        <f t="shared" si="22"/>
        <v>1018.0915725678033</v>
      </c>
      <c r="AA96" s="611">
        <f t="shared" si="22"/>
        <v>1018.0915725678033</v>
      </c>
      <c r="AB96" s="611">
        <f t="shared" si="22"/>
        <v>1018.0915725678033</v>
      </c>
      <c r="AC96" s="611">
        <f t="shared" si="22"/>
        <v>1018.0915725678033</v>
      </c>
      <c r="AD96" s="611">
        <f t="shared" si="22"/>
        <v>1018.0915725678033</v>
      </c>
      <c r="AE96" s="611">
        <f t="shared" si="22"/>
        <v>1018.0915725678033</v>
      </c>
      <c r="AF96" s="611">
        <f t="shared" si="22"/>
        <v>1018.0915725678033</v>
      </c>
      <c r="AG96" s="611">
        <f t="shared" si="22"/>
        <v>1018.0915725678033</v>
      </c>
      <c r="AH96" s="611">
        <f t="shared" si="22"/>
        <v>1018.0915725678033</v>
      </c>
      <c r="AI96" s="611"/>
    </row>
    <row r="97" spans="1:37" ht="12" thickBot="1" x14ac:dyDescent="0.2">
      <c r="B97" s="1246" t="s">
        <v>2109</v>
      </c>
      <c r="C97" s="1254">
        <f t="shared" si="18"/>
        <v>0</v>
      </c>
      <c r="D97" s="1254">
        <f t="shared" ref="D97:AH97" si="23">D87+C97</f>
        <v>0</v>
      </c>
      <c r="E97" s="1254">
        <f t="shared" si="23"/>
        <v>20.096830485195081</v>
      </c>
      <c r="F97" s="1254">
        <f t="shared" si="23"/>
        <v>40.193660970390162</v>
      </c>
      <c r="G97" s="1254">
        <f t="shared" si="23"/>
        <v>42.743879460390161</v>
      </c>
      <c r="H97" s="1254">
        <f t="shared" si="23"/>
        <v>45.804141648390164</v>
      </c>
      <c r="I97" s="1254">
        <f t="shared" si="23"/>
        <v>48.354360138390163</v>
      </c>
      <c r="J97" s="1254">
        <f t="shared" si="23"/>
        <v>50.904578628390162</v>
      </c>
      <c r="K97" s="1254">
        <f t="shared" si="23"/>
        <v>50.904578628390162</v>
      </c>
      <c r="L97" s="1254">
        <f t="shared" si="23"/>
        <v>50.904578628390162</v>
      </c>
      <c r="M97" s="1254">
        <f t="shared" si="23"/>
        <v>50.904578628390162</v>
      </c>
      <c r="N97" s="1254">
        <f t="shared" si="23"/>
        <v>50.904578628390162</v>
      </c>
      <c r="O97" s="1254">
        <f t="shared" si="23"/>
        <v>50.904578628390162</v>
      </c>
      <c r="P97" s="1254">
        <f t="shared" si="23"/>
        <v>50.904578628390162</v>
      </c>
      <c r="Q97" s="1254">
        <f t="shared" si="23"/>
        <v>50.904578628390162</v>
      </c>
      <c r="R97" s="1254">
        <f t="shared" si="23"/>
        <v>50.904578628390162</v>
      </c>
      <c r="S97" s="1254">
        <f t="shared" si="23"/>
        <v>50.904578628390162</v>
      </c>
      <c r="T97" s="1254">
        <f t="shared" si="23"/>
        <v>50.904578628390162</v>
      </c>
      <c r="U97" s="1254">
        <f t="shared" si="23"/>
        <v>50.904578628390162</v>
      </c>
      <c r="V97" s="1254">
        <f t="shared" si="23"/>
        <v>50.904578628390162</v>
      </c>
      <c r="W97" s="1254">
        <f t="shared" si="23"/>
        <v>50.904578628390162</v>
      </c>
      <c r="X97" s="1254">
        <f t="shared" si="23"/>
        <v>50.904578628390162</v>
      </c>
      <c r="Y97" s="1254">
        <f t="shared" si="23"/>
        <v>50.904578628390162</v>
      </c>
      <c r="Z97" s="1254">
        <f t="shared" si="23"/>
        <v>50.904578628390162</v>
      </c>
      <c r="AA97" s="1254">
        <f t="shared" si="23"/>
        <v>50.904578628390162</v>
      </c>
      <c r="AB97" s="1254">
        <f t="shared" si="23"/>
        <v>50.904578628390162</v>
      </c>
      <c r="AC97" s="1254">
        <f t="shared" si="23"/>
        <v>50.904578628390162</v>
      </c>
      <c r="AD97" s="1254">
        <f t="shared" si="23"/>
        <v>50.904578628390162</v>
      </c>
      <c r="AE97" s="1254">
        <f t="shared" si="23"/>
        <v>50.904578628390162</v>
      </c>
      <c r="AF97" s="1254">
        <f t="shared" si="23"/>
        <v>50.904578628390162</v>
      </c>
      <c r="AG97" s="1254">
        <f t="shared" si="23"/>
        <v>50.904578628390162</v>
      </c>
      <c r="AH97" s="1254">
        <f t="shared" si="23"/>
        <v>50.904578628390162</v>
      </c>
      <c r="AI97" s="611"/>
    </row>
    <row r="98" spans="1:37" ht="12" thickTop="1" x14ac:dyDescent="0.15">
      <c r="B98" s="1255" t="s">
        <v>2110</v>
      </c>
      <c r="C98" s="1256">
        <f t="shared" si="18"/>
        <v>0</v>
      </c>
      <c r="D98" s="1256">
        <f t="shared" ref="D98:AH98" si="24">D88+C98</f>
        <v>0</v>
      </c>
      <c r="E98" s="1256">
        <f t="shared" si="24"/>
        <v>401.93660970390164</v>
      </c>
      <c r="F98" s="1256">
        <f t="shared" si="24"/>
        <v>803.87321940780328</v>
      </c>
      <c r="G98" s="1256">
        <f t="shared" si="24"/>
        <v>854.87758920780334</v>
      </c>
      <c r="H98" s="1256">
        <f t="shared" si="24"/>
        <v>916.08283296780337</v>
      </c>
      <c r="I98" s="1256">
        <f t="shared" si="24"/>
        <v>967.08720276780332</v>
      </c>
      <c r="J98" s="1256">
        <f t="shared" si="24"/>
        <v>1018.0915725678033</v>
      </c>
      <c r="K98" s="1256">
        <f t="shared" si="24"/>
        <v>1018.0915725678033</v>
      </c>
      <c r="L98" s="1256">
        <f t="shared" si="24"/>
        <v>1018.0915725678033</v>
      </c>
      <c r="M98" s="1256">
        <f t="shared" si="24"/>
        <v>1018.0915725678033</v>
      </c>
      <c r="N98" s="1256">
        <f t="shared" si="24"/>
        <v>1018.0915725678033</v>
      </c>
      <c r="O98" s="1256">
        <f t="shared" si="24"/>
        <v>1018.0915725678033</v>
      </c>
      <c r="P98" s="1256">
        <f t="shared" si="24"/>
        <v>1018.0915725678033</v>
      </c>
      <c r="Q98" s="1256">
        <f t="shared" si="24"/>
        <v>1018.0915725678033</v>
      </c>
      <c r="R98" s="1256">
        <f t="shared" si="24"/>
        <v>1018.0915725678033</v>
      </c>
      <c r="S98" s="1256">
        <f t="shared" si="24"/>
        <v>1018.0915725678033</v>
      </c>
      <c r="T98" s="1256">
        <f t="shared" si="24"/>
        <v>1018.0915725678033</v>
      </c>
      <c r="U98" s="1256">
        <f t="shared" si="24"/>
        <v>1018.0915725678033</v>
      </c>
      <c r="V98" s="1256">
        <f t="shared" si="24"/>
        <v>1018.0915725678033</v>
      </c>
      <c r="W98" s="1256">
        <f t="shared" si="24"/>
        <v>1018.0915725678033</v>
      </c>
      <c r="X98" s="1256">
        <f t="shared" si="24"/>
        <v>1018.0915725678033</v>
      </c>
      <c r="Y98" s="1256">
        <f t="shared" si="24"/>
        <v>1018.0915725678033</v>
      </c>
      <c r="Z98" s="1256">
        <f t="shared" si="24"/>
        <v>1018.0915725678033</v>
      </c>
      <c r="AA98" s="1256">
        <f t="shared" si="24"/>
        <v>1018.0915725678033</v>
      </c>
      <c r="AB98" s="1256">
        <f t="shared" si="24"/>
        <v>1018.0915725678033</v>
      </c>
      <c r="AC98" s="1256">
        <f t="shared" si="24"/>
        <v>1018.0915725678033</v>
      </c>
      <c r="AD98" s="1256">
        <f t="shared" si="24"/>
        <v>1018.0915725678033</v>
      </c>
      <c r="AE98" s="1256">
        <f t="shared" si="24"/>
        <v>1018.0915725678033</v>
      </c>
      <c r="AF98" s="1256">
        <f t="shared" si="24"/>
        <v>1018.0915725678033</v>
      </c>
      <c r="AG98" s="1256">
        <f t="shared" si="24"/>
        <v>1018.0915725678033</v>
      </c>
      <c r="AH98" s="1256">
        <f t="shared" si="24"/>
        <v>1018.0915725678033</v>
      </c>
      <c r="AI98" s="611"/>
    </row>
    <row r="99" spans="1:37" x14ac:dyDescent="0.15">
      <c r="B99" s="1253"/>
      <c r="C99" s="611"/>
      <c r="D99" s="611"/>
      <c r="E99" s="611"/>
      <c r="F99" s="611"/>
      <c r="G99" s="611"/>
      <c r="H99" s="611"/>
      <c r="I99" s="611"/>
      <c r="J99" s="611"/>
      <c r="K99" s="611"/>
      <c r="L99" s="611"/>
      <c r="M99" s="611"/>
      <c r="N99" s="611"/>
      <c r="O99" s="611"/>
      <c r="P99" s="611"/>
      <c r="Q99" s="611"/>
      <c r="R99" s="611"/>
      <c r="S99" s="611"/>
      <c r="T99" s="611"/>
      <c r="U99" s="611"/>
      <c r="V99" s="611"/>
      <c r="W99" s="611"/>
      <c r="X99" s="611"/>
      <c r="Y99" s="611"/>
      <c r="Z99" s="611"/>
      <c r="AA99" s="611"/>
      <c r="AB99" s="611"/>
      <c r="AC99" s="611"/>
      <c r="AD99" s="611"/>
      <c r="AE99" s="611"/>
      <c r="AF99" s="611"/>
      <c r="AG99" s="611"/>
      <c r="AH99" s="611"/>
      <c r="AI99" s="611"/>
    </row>
    <row r="100" spans="1:37" x14ac:dyDescent="0.15">
      <c r="B100" s="1253"/>
      <c r="C100" s="611"/>
      <c r="D100" s="611"/>
      <c r="E100" s="611"/>
      <c r="F100" s="611"/>
      <c r="G100" s="611"/>
      <c r="H100" s="611"/>
      <c r="I100" s="611"/>
      <c r="J100" s="611"/>
      <c r="K100" s="611"/>
      <c r="L100" s="611"/>
      <c r="M100" s="611"/>
      <c r="N100" s="611"/>
      <c r="O100" s="611"/>
      <c r="P100" s="611"/>
      <c r="Q100" s="611"/>
      <c r="R100" s="611"/>
      <c r="S100" s="611"/>
      <c r="T100" s="611"/>
      <c r="U100" s="611"/>
      <c r="V100" s="611"/>
      <c r="W100" s="611"/>
      <c r="X100" s="611"/>
      <c r="Y100" s="611"/>
      <c r="Z100" s="611"/>
      <c r="AA100" s="611"/>
      <c r="AB100" s="611"/>
      <c r="AC100" s="611"/>
      <c r="AD100" s="611"/>
      <c r="AE100" s="611"/>
      <c r="AF100" s="611"/>
      <c r="AG100" s="611"/>
      <c r="AH100" s="611"/>
      <c r="AI100" s="611"/>
    </row>
    <row r="101" spans="1:37" ht="12" thickBot="1" x14ac:dyDescent="0.2">
      <c r="B101" s="1253"/>
      <c r="C101" s="611"/>
      <c r="D101" s="611"/>
      <c r="E101" s="611"/>
      <c r="F101" s="611"/>
      <c r="G101" s="611"/>
      <c r="H101" s="611"/>
      <c r="I101" s="611"/>
      <c r="J101" s="611"/>
      <c r="K101" s="611"/>
      <c r="L101" s="611"/>
      <c r="M101" s="611"/>
      <c r="N101" s="611"/>
      <c r="O101" s="611"/>
      <c r="P101" s="611"/>
      <c r="Q101" s="611"/>
      <c r="R101" s="611"/>
      <c r="S101" s="611"/>
      <c r="T101" s="611"/>
      <c r="U101" s="611"/>
      <c r="V101" s="611"/>
      <c r="W101" s="611"/>
      <c r="X101" s="611"/>
      <c r="Y101" s="611"/>
      <c r="Z101" s="611"/>
      <c r="AA101" s="611"/>
      <c r="AB101" s="611"/>
      <c r="AC101" s="611"/>
      <c r="AD101" s="611"/>
      <c r="AE101" s="611"/>
      <c r="AF101" s="611"/>
      <c r="AG101" s="611"/>
      <c r="AH101" s="611"/>
      <c r="AI101" s="611"/>
    </row>
    <row r="102" spans="1:37" x14ac:dyDescent="0.15">
      <c r="B102" s="613" t="s">
        <v>1209</v>
      </c>
      <c r="C102" s="613"/>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4"/>
      <c r="AJ102" s="614"/>
    </row>
    <row r="103" spans="1:37" x14ac:dyDescent="0.15">
      <c r="B103" s="626"/>
      <c r="C103" s="1258"/>
      <c r="D103" s="1259"/>
      <c r="E103" s="1259"/>
      <c r="F103" s="1259"/>
      <c r="G103" s="1259"/>
      <c r="H103" s="1259"/>
      <c r="I103" s="1259"/>
      <c r="J103" s="1259"/>
      <c r="K103" s="1259"/>
      <c r="L103" s="1259"/>
      <c r="M103" s="1259"/>
      <c r="N103" s="1259"/>
      <c r="O103" s="1259"/>
      <c r="P103" s="1259"/>
      <c r="Q103" s="1259"/>
      <c r="R103" s="1259"/>
      <c r="S103" s="1259"/>
      <c r="T103" s="1259"/>
      <c r="U103" s="1259"/>
      <c r="V103" s="1259"/>
      <c r="W103" s="1259"/>
      <c r="X103" s="1259"/>
      <c r="Y103" s="1259"/>
      <c r="Z103" s="1259"/>
      <c r="AA103" s="1259"/>
      <c r="AB103" s="1259"/>
      <c r="AC103" s="1259"/>
      <c r="AD103" s="1259"/>
      <c r="AE103" s="1259"/>
      <c r="AF103" s="1259"/>
      <c r="AG103" s="1259"/>
      <c r="AH103" s="1259"/>
      <c r="AI103" s="616"/>
      <c r="AJ103" s="616"/>
    </row>
    <row r="104" spans="1:37" x14ac:dyDescent="0.15">
      <c r="B104" s="626" t="str">
        <f>B91</f>
        <v>Commercial</v>
      </c>
      <c r="C104" s="1260">
        <f>C75</f>
        <v>2018</v>
      </c>
      <c r="D104" s="1260">
        <f>C104+1</f>
        <v>2019</v>
      </c>
      <c r="E104" s="1260">
        <f t="shared" ref="E104:AH104" si="25">D104+1</f>
        <v>2020</v>
      </c>
      <c r="F104" s="1260">
        <f t="shared" si="25"/>
        <v>2021</v>
      </c>
      <c r="G104" s="1260">
        <f t="shared" si="25"/>
        <v>2022</v>
      </c>
      <c r="H104" s="1260">
        <f t="shared" si="25"/>
        <v>2023</v>
      </c>
      <c r="I104" s="1260">
        <f t="shared" si="25"/>
        <v>2024</v>
      </c>
      <c r="J104" s="1260">
        <f t="shared" si="25"/>
        <v>2025</v>
      </c>
      <c r="K104" s="1260">
        <f t="shared" si="25"/>
        <v>2026</v>
      </c>
      <c r="L104" s="617">
        <f t="shared" si="25"/>
        <v>2027</v>
      </c>
      <c r="M104" s="617">
        <f t="shared" si="25"/>
        <v>2028</v>
      </c>
      <c r="N104" s="617">
        <f t="shared" si="25"/>
        <v>2029</v>
      </c>
      <c r="O104" s="1260">
        <f t="shared" si="25"/>
        <v>2030</v>
      </c>
      <c r="P104" s="617">
        <f t="shared" si="25"/>
        <v>2031</v>
      </c>
      <c r="Q104" s="617">
        <f t="shared" si="25"/>
        <v>2032</v>
      </c>
      <c r="R104" s="617">
        <f t="shared" si="25"/>
        <v>2033</v>
      </c>
      <c r="S104" s="617">
        <f t="shared" si="25"/>
        <v>2034</v>
      </c>
      <c r="T104" s="1260">
        <f t="shared" si="25"/>
        <v>2035</v>
      </c>
      <c r="U104" s="617">
        <f t="shared" si="25"/>
        <v>2036</v>
      </c>
      <c r="V104" s="617">
        <f t="shared" si="25"/>
        <v>2037</v>
      </c>
      <c r="W104" s="617">
        <f t="shared" si="25"/>
        <v>2038</v>
      </c>
      <c r="X104" s="617">
        <f t="shared" si="25"/>
        <v>2039</v>
      </c>
      <c r="Y104" s="617">
        <f t="shared" si="25"/>
        <v>2040</v>
      </c>
      <c r="Z104" s="617">
        <f t="shared" si="25"/>
        <v>2041</v>
      </c>
      <c r="AA104" s="617">
        <f t="shared" si="25"/>
        <v>2042</v>
      </c>
      <c r="AB104" s="617">
        <f t="shared" si="25"/>
        <v>2043</v>
      </c>
      <c r="AC104" s="617">
        <f t="shared" si="25"/>
        <v>2044</v>
      </c>
      <c r="AD104" s="1260">
        <f t="shared" si="25"/>
        <v>2045</v>
      </c>
      <c r="AE104" s="1260">
        <f t="shared" si="25"/>
        <v>2046</v>
      </c>
      <c r="AF104" s="1260">
        <f t="shared" si="25"/>
        <v>2047</v>
      </c>
      <c r="AG104" s="1260">
        <f t="shared" si="25"/>
        <v>2048</v>
      </c>
      <c r="AH104" s="617">
        <f t="shared" si="25"/>
        <v>2049</v>
      </c>
      <c r="AI104" s="975"/>
      <c r="AJ104" s="975"/>
      <c r="AK104" s="975"/>
    </row>
    <row r="105" spans="1:37" x14ac:dyDescent="0.15">
      <c r="B105" s="1105" t="s">
        <v>1208</v>
      </c>
      <c r="C105" s="618">
        <f t="shared" ref="C105:AH105" si="26">C91*$F$9</f>
        <v>0</v>
      </c>
      <c r="D105" s="618">
        <f t="shared" si="26"/>
        <v>0</v>
      </c>
      <c r="E105" s="618">
        <f t="shared" si="26"/>
        <v>2917619.3255616003</v>
      </c>
      <c r="F105" s="618">
        <f t="shared" si="26"/>
        <v>5652887.4432755997</v>
      </c>
      <c r="G105" s="618">
        <f t="shared" si="26"/>
        <v>6564643.482513601</v>
      </c>
      <c r="H105" s="618">
        <f t="shared" si="26"/>
        <v>7658750.7295992002</v>
      </c>
      <c r="I105" s="618">
        <f t="shared" si="26"/>
        <v>8570506.7688372005</v>
      </c>
      <c r="J105" s="618">
        <f t="shared" si="26"/>
        <v>9482262.8080752008</v>
      </c>
      <c r="K105" s="618">
        <f t="shared" si="26"/>
        <v>10941072.470856002</v>
      </c>
      <c r="L105" s="618">
        <f t="shared" si="26"/>
        <v>12399882.133636802</v>
      </c>
      <c r="M105" s="618">
        <f t="shared" si="26"/>
        <v>14223394.212112803</v>
      </c>
      <c r="N105" s="618">
        <f t="shared" si="26"/>
        <v>16046906.290588804</v>
      </c>
      <c r="O105" s="618">
        <f t="shared" si="26"/>
        <v>18235120.784760002</v>
      </c>
      <c r="P105" s="618">
        <f t="shared" si="26"/>
        <v>18235120.784760002</v>
      </c>
      <c r="Q105" s="618">
        <f t="shared" si="26"/>
        <v>18235120.784760002</v>
      </c>
      <c r="R105" s="618">
        <f t="shared" si="26"/>
        <v>18235120.784760002</v>
      </c>
      <c r="S105" s="618">
        <f t="shared" si="26"/>
        <v>18235120.784760002</v>
      </c>
      <c r="T105" s="618">
        <f t="shared" si="26"/>
        <v>18235120.784760002</v>
      </c>
      <c r="U105" s="618">
        <f t="shared" si="26"/>
        <v>18235120.784760002</v>
      </c>
      <c r="V105" s="618">
        <f t="shared" si="26"/>
        <v>18235120.784760002</v>
      </c>
      <c r="W105" s="618">
        <f t="shared" si="26"/>
        <v>18235120.784760002</v>
      </c>
      <c r="X105" s="618">
        <f t="shared" si="26"/>
        <v>18235120.784760002</v>
      </c>
      <c r="Y105" s="618">
        <f t="shared" si="26"/>
        <v>18235120.784760002</v>
      </c>
      <c r="Z105" s="618">
        <f t="shared" si="26"/>
        <v>18235120.784760002</v>
      </c>
      <c r="AA105" s="618">
        <f t="shared" si="26"/>
        <v>18235120.784760002</v>
      </c>
      <c r="AB105" s="618">
        <f t="shared" si="26"/>
        <v>18235120.784760002</v>
      </c>
      <c r="AC105" s="618">
        <f t="shared" si="26"/>
        <v>18235120.784760002</v>
      </c>
      <c r="AD105" s="618">
        <f t="shared" si="26"/>
        <v>18235120.784760002</v>
      </c>
      <c r="AE105" s="618">
        <f t="shared" si="26"/>
        <v>18235120.784760002</v>
      </c>
      <c r="AF105" s="618">
        <f t="shared" si="26"/>
        <v>18235120.784760002</v>
      </c>
      <c r="AG105" s="618">
        <f t="shared" si="26"/>
        <v>18235120.784760002</v>
      </c>
      <c r="AH105" s="618">
        <f t="shared" si="26"/>
        <v>18235120.784760002</v>
      </c>
      <c r="AI105" s="975"/>
      <c r="AJ105" s="975"/>
      <c r="AK105" s="975"/>
    </row>
    <row r="106" spans="1:37" s="576" customFormat="1" x14ac:dyDescent="0.15">
      <c r="A106" s="974"/>
      <c r="B106" s="1261" t="s">
        <v>1207</v>
      </c>
      <c r="C106" s="979">
        <f>C105*$C$71</f>
        <v>0</v>
      </c>
      <c r="D106" s="979">
        <f t="shared" ref="D106:AH106" si="27">D105*$C$71</f>
        <v>0</v>
      </c>
      <c r="E106" s="979">
        <f t="shared" si="27"/>
        <v>437642.89883424004</v>
      </c>
      <c r="F106" s="979">
        <f t="shared" si="27"/>
        <v>847933.11649133998</v>
      </c>
      <c r="G106" s="979">
        <f t="shared" si="27"/>
        <v>984696.52237704012</v>
      </c>
      <c r="H106" s="979">
        <f t="shared" si="27"/>
        <v>1148812.6094398799</v>
      </c>
      <c r="I106" s="979">
        <f t="shared" si="27"/>
        <v>1285576.01532558</v>
      </c>
      <c r="J106" s="979">
        <f t="shared" si="27"/>
        <v>1422339.4212112802</v>
      </c>
      <c r="K106" s="979">
        <f t="shared" si="27"/>
        <v>1641160.8706284002</v>
      </c>
      <c r="L106" s="979">
        <f t="shared" si="27"/>
        <v>1859982.3200455203</v>
      </c>
      <c r="M106" s="979">
        <f t="shared" si="27"/>
        <v>2133509.1318169204</v>
      </c>
      <c r="N106" s="979">
        <f t="shared" si="27"/>
        <v>2407035.9435883206</v>
      </c>
      <c r="O106" s="979">
        <f t="shared" si="27"/>
        <v>2735268.1177140004</v>
      </c>
      <c r="P106" s="979">
        <f t="shared" si="27"/>
        <v>2735268.1177140004</v>
      </c>
      <c r="Q106" s="979">
        <f t="shared" si="27"/>
        <v>2735268.1177140004</v>
      </c>
      <c r="R106" s="979">
        <f t="shared" si="27"/>
        <v>2735268.1177140004</v>
      </c>
      <c r="S106" s="979">
        <f t="shared" si="27"/>
        <v>2735268.1177140004</v>
      </c>
      <c r="T106" s="979">
        <f t="shared" si="27"/>
        <v>2735268.1177140004</v>
      </c>
      <c r="U106" s="979">
        <f t="shared" si="27"/>
        <v>2735268.1177140004</v>
      </c>
      <c r="V106" s="979">
        <f t="shared" si="27"/>
        <v>2735268.1177140004</v>
      </c>
      <c r="W106" s="979">
        <f t="shared" si="27"/>
        <v>2735268.1177140004</v>
      </c>
      <c r="X106" s="979">
        <f t="shared" si="27"/>
        <v>2735268.1177140004</v>
      </c>
      <c r="Y106" s="979">
        <f t="shared" si="27"/>
        <v>2735268.1177140004</v>
      </c>
      <c r="Z106" s="979">
        <f t="shared" si="27"/>
        <v>2735268.1177140004</v>
      </c>
      <c r="AA106" s="979">
        <f t="shared" si="27"/>
        <v>2735268.1177140004</v>
      </c>
      <c r="AB106" s="979">
        <f t="shared" si="27"/>
        <v>2735268.1177140004</v>
      </c>
      <c r="AC106" s="979">
        <f t="shared" si="27"/>
        <v>2735268.1177140004</v>
      </c>
      <c r="AD106" s="979">
        <f t="shared" si="27"/>
        <v>2735268.1177140004</v>
      </c>
      <c r="AE106" s="979">
        <f t="shared" si="27"/>
        <v>2735268.1177140004</v>
      </c>
      <c r="AF106" s="979">
        <f t="shared" si="27"/>
        <v>2735268.1177140004</v>
      </c>
      <c r="AG106" s="979">
        <f t="shared" si="27"/>
        <v>2735268.1177140004</v>
      </c>
      <c r="AH106" s="979">
        <f t="shared" si="27"/>
        <v>2735268.1177140004</v>
      </c>
      <c r="AI106" s="974"/>
      <c r="AJ106" s="974"/>
      <c r="AK106" s="974"/>
    </row>
    <row r="107" spans="1:37" x14ac:dyDescent="0.15">
      <c r="B107" s="1262" t="s">
        <v>2112</v>
      </c>
      <c r="C107" s="618">
        <f>C91*$C$41</f>
        <v>0</v>
      </c>
      <c r="D107" s="618">
        <f>D91*$C$41</f>
        <v>0</v>
      </c>
      <c r="E107" s="618">
        <f t="shared" ref="E107:Q107" si="28">((E83*43560)*4.5)*0.333</f>
        <v>100506.95538744962</v>
      </c>
      <c r="F107" s="618">
        <f t="shared" si="28"/>
        <v>187194.20440912491</v>
      </c>
      <c r="G107" s="618">
        <f t="shared" si="28"/>
        <v>147619.59072531664</v>
      </c>
      <c r="H107" s="618">
        <f t="shared" si="28"/>
        <v>200385.74230372769</v>
      </c>
      <c r="I107" s="618">
        <f t="shared" si="28"/>
        <v>194104.0575920121</v>
      </c>
      <c r="J107" s="618">
        <f t="shared" si="28"/>
        <v>217346.29102535982</v>
      </c>
      <c r="K107" s="618">
        <f t="shared" si="28"/>
        <v>236191.34516050658</v>
      </c>
      <c r="L107" s="618">
        <f t="shared" si="28"/>
        <v>236191.34516050658</v>
      </c>
      <c r="M107" s="618">
        <f t="shared" si="28"/>
        <v>248754.71458393778</v>
      </c>
      <c r="N107" s="618">
        <f t="shared" si="28"/>
        <v>271996.9480172855</v>
      </c>
      <c r="O107" s="618">
        <f t="shared" si="28"/>
        <v>354287.01774075982</v>
      </c>
      <c r="P107" s="618">
        <f t="shared" si="28"/>
        <v>278906.80120017263</v>
      </c>
      <c r="Q107" s="618">
        <f t="shared" si="28"/>
        <v>278906.80120017263</v>
      </c>
      <c r="R107" s="618">
        <f>Q107</f>
        <v>278906.80120017263</v>
      </c>
      <c r="S107" s="618">
        <f t="shared" ref="S107:AH107" si="29">R107</f>
        <v>278906.80120017263</v>
      </c>
      <c r="T107" s="618">
        <f t="shared" si="29"/>
        <v>278906.80120017263</v>
      </c>
      <c r="U107" s="618">
        <f t="shared" si="29"/>
        <v>278906.80120017263</v>
      </c>
      <c r="V107" s="618">
        <f t="shared" si="29"/>
        <v>278906.80120017263</v>
      </c>
      <c r="W107" s="618">
        <f t="shared" si="29"/>
        <v>278906.80120017263</v>
      </c>
      <c r="X107" s="618">
        <f t="shared" si="29"/>
        <v>278906.80120017263</v>
      </c>
      <c r="Y107" s="618">
        <f t="shared" si="29"/>
        <v>278906.80120017263</v>
      </c>
      <c r="Z107" s="618">
        <f t="shared" si="29"/>
        <v>278906.80120017263</v>
      </c>
      <c r="AA107" s="618">
        <f t="shared" si="29"/>
        <v>278906.80120017263</v>
      </c>
      <c r="AB107" s="618">
        <f t="shared" si="29"/>
        <v>278906.80120017263</v>
      </c>
      <c r="AC107" s="618">
        <f t="shared" si="29"/>
        <v>278906.80120017263</v>
      </c>
      <c r="AD107" s="618">
        <f t="shared" si="29"/>
        <v>278906.80120017263</v>
      </c>
      <c r="AE107" s="618">
        <f t="shared" si="29"/>
        <v>278906.80120017263</v>
      </c>
      <c r="AF107" s="618">
        <f t="shared" si="29"/>
        <v>278906.80120017263</v>
      </c>
      <c r="AG107" s="618">
        <f t="shared" si="29"/>
        <v>278906.80120017263</v>
      </c>
      <c r="AH107" s="618">
        <f t="shared" si="29"/>
        <v>278906.80120017263</v>
      </c>
      <c r="AI107" s="975"/>
      <c r="AJ107" s="975"/>
      <c r="AK107" s="975"/>
    </row>
    <row r="108" spans="1:37" x14ac:dyDescent="0.15">
      <c r="B108" s="1263" t="s">
        <v>2113</v>
      </c>
      <c r="C108" s="1264">
        <f t="shared" ref="C108:AH108" si="30">SUM(C105:C107)</f>
        <v>0</v>
      </c>
      <c r="D108" s="1264">
        <f t="shared" si="30"/>
        <v>0</v>
      </c>
      <c r="E108" s="1264">
        <f t="shared" si="30"/>
        <v>3455769.1797832903</v>
      </c>
      <c r="F108" s="1264">
        <f t="shared" si="30"/>
        <v>6688014.7641760651</v>
      </c>
      <c r="G108" s="1264">
        <f t="shared" si="30"/>
        <v>7696959.5956159579</v>
      </c>
      <c r="H108" s="1264">
        <f t="shared" si="30"/>
        <v>9007949.081342807</v>
      </c>
      <c r="I108" s="1264">
        <f t="shared" si="30"/>
        <v>10050186.841754792</v>
      </c>
      <c r="J108" s="1264">
        <f t="shared" si="30"/>
        <v>11121948.52031184</v>
      </c>
      <c r="K108" s="1264">
        <f t="shared" si="30"/>
        <v>12818424.686644908</v>
      </c>
      <c r="L108" s="1265">
        <f t="shared" si="30"/>
        <v>14496055.798842829</v>
      </c>
      <c r="M108" s="1265">
        <f t="shared" si="30"/>
        <v>16605658.05851366</v>
      </c>
      <c r="N108" s="1265">
        <f t="shared" si="30"/>
        <v>18725939.182194408</v>
      </c>
      <c r="O108" s="1264">
        <f t="shared" si="30"/>
        <v>21324675.920214761</v>
      </c>
      <c r="P108" s="1265">
        <f>SUM(P105:P107)</f>
        <v>21249295.703674175</v>
      </c>
      <c r="Q108" s="1265">
        <f t="shared" si="30"/>
        <v>21249295.703674175</v>
      </c>
      <c r="R108" s="1266">
        <f t="shared" si="30"/>
        <v>21249295.703674175</v>
      </c>
      <c r="S108" s="1267">
        <f t="shared" si="30"/>
        <v>21249295.703674175</v>
      </c>
      <c r="T108" s="1264">
        <f t="shared" si="30"/>
        <v>21249295.703674175</v>
      </c>
      <c r="U108" s="1267">
        <f t="shared" si="30"/>
        <v>21249295.703674175</v>
      </c>
      <c r="V108" s="1267">
        <f t="shared" si="30"/>
        <v>21249295.703674175</v>
      </c>
      <c r="W108" s="1267">
        <f t="shared" si="30"/>
        <v>21249295.703674175</v>
      </c>
      <c r="X108" s="1267">
        <f t="shared" si="30"/>
        <v>21249295.703674175</v>
      </c>
      <c r="Y108" s="1267">
        <f t="shared" si="30"/>
        <v>21249295.703674175</v>
      </c>
      <c r="Z108" s="1267">
        <f t="shared" si="30"/>
        <v>21249295.703674175</v>
      </c>
      <c r="AA108" s="1267">
        <f t="shared" si="30"/>
        <v>21249295.703674175</v>
      </c>
      <c r="AB108" s="1268">
        <f t="shared" si="30"/>
        <v>21249295.703674175</v>
      </c>
      <c r="AC108" s="1268">
        <f t="shared" si="30"/>
        <v>21249295.703674175</v>
      </c>
      <c r="AD108" s="1264">
        <f t="shared" si="30"/>
        <v>21249295.703674175</v>
      </c>
      <c r="AE108" s="1264">
        <f t="shared" si="30"/>
        <v>21249295.703674175</v>
      </c>
      <c r="AF108" s="1264">
        <f t="shared" si="30"/>
        <v>21249295.703674175</v>
      </c>
      <c r="AG108" s="1264">
        <f t="shared" si="30"/>
        <v>21249295.703674175</v>
      </c>
      <c r="AH108" s="1269">
        <f t="shared" si="30"/>
        <v>21249295.703674175</v>
      </c>
      <c r="AI108" s="975"/>
      <c r="AJ108" s="886"/>
      <c r="AK108" s="975"/>
    </row>
    <row r="109" spans="1:37" x14ac:dyDescent="0.15">
      <c r="B109" s="626" t="str">
        <f>B92</f>
        <v>Office</v>
      </c>
      <c r="C109" s="1260">
        <f>C104</f>
        <v>2018</v>
      </c>
      <c r="D109" s="1260">
        <f t="shared" ref="D109:AH109" si="31">C109+1</f>
        <v>2019</v>
      </c>
      <c r="E109" s="1260">
        <f t="shared" si="31"/>
        <v>2020</v>
      </c>
      <c r="F109" s="1260">
        <f t="shared" si="31"/>
        <v>2021</v>
      </c>
      <c r="G109" s="1260">
        <f t="shared" si="31"/>
        <v>2022</v>
      </c>
      <c r="H109" s="1260">
        <f t="shared" si="31"/>
        <v>2023</v>
      </c>
      <c r="I109" s="1260">
        <f t="shared" si="31"/>
        <v>2024</v>
      </c>
      <c r="J109" s="1260">
        <f t="shared" si="31"/>
        <v>2025</v>
      </c>
      <c r="K109" s="1260">
        <f t="shared" si="31"/>
        <v>2026</v>
      </c>
      <c r="L109" s="617">
        <f t="shared" si="31"/>
        <v>2027</v>
      </c>
      <c r="M109" s="617">
        <f t="shared" si="31"/>
        <v>2028</v>
      </c>
      <c r="N109" s="617">
        <f t="shared" si="31"/>
        <v>2029</v>
      </c>
      <c r="O109" s="1260">
        <f t="shared" si="31"/>
        <v>2030</v>
      </c>
      <c r="P109" s="617">
        <f t="shared" si="31"/>
        <v>2031</v>
      </c>
      <c r="Q109" s="617">
        <f t="shared" si="31"/>
        <v>2032</v>
      </c>
      <c r="R109" s="617">
        <f t="shared" si="31"/>
        <v>2033</v>
      </c>
      <c r="S109" s="617">
        <f t="shared" si="31"/>
        <v>2034</v>
      </c>
      <c r="T109" s="1260">
        <f t="shared" si="31"/>
        <v>2035</v>
      </c>
      <c r="U109" s="617">
        <f t="shared" si="31"/>
        <v>2036</v>
      </c>
      <c r="V109" s="617">
        <f t="shared" si="31"/>
        <v>2037</v>
      </c>
      <c r="W109" s="617">
        <f t="shared" si="31"/>
        <v>2038</v>
      </c>
      <c r="X109" s="617">
        <f t="shared" si="31"/>
        <v>2039</v>
      </c>
      <c r="Y109" s="617">
        <f t="shared" si="31"/>
        <v>2040</v>
      </c>
      <c r="Z109" s="617">
        <f t="shared" si="31"/>
        <v>2041</v>
      </c>
      <c r="AA109" s="617">
        <f t="shared" si="31"/>
        <v>2042</v>
      </c>
      <c r="AB109" s="617">
        <f t="shared" si="31"/>
        <v>2043</v>
      </c>
      <c r="AC109" s="617">
        <f t="shared" si="31"/>
        <v>2044</v>
      </c>
      <c r="AD109" s="1260">
        <f t="shared" si="31"/>
        <v>2045</v>
      </c>
      <c r="AE109" s="1260">
        <f t="shared" si="31"/>
        <v>2046</v>
      </c>
      <c r="AF109" s="1260">
        <f t="shared" si="31"/>
        <v>2047</v>
      </c>
      <c r="AG109" s="1260">
        <f t="shared" si="31"/>
        <v>2048</v>
      </c>
      <c r="AH109" s="617">
        <f t="shared" si="31"/>
        <v>2049</v>
      </c>
      <c r="AI109" s="595"/>
      <c r="AJ109" s="593"/>
      <c r="AK109" s="975"/>
    </row>
    <row r="110" spans="1:37" x14ac:dyDescent="0.15">
      <c r="B110" s="1105" t="s">
        <v>1208</v>
      </c>
      <c r="C110" s="618">
        <f t="shared" ref="C110:AH110" si="32">C92*$F$10</f>
        <v>0</v>
      </c>
      <c r="D110" s="618">
        <f t="shared" si="32"/>
        <v>0</v>
      </c>
      <c r="E110" s="618">
        <f t="shared" si="32"/>
        <v>0</v>
      </c>
      <c r="F110" s="618">
        <f t="shared" si="32"/>
        <v>3164107.8547900803</v>
      </c>
      <c r="G110" s="618">
        <f t="shared" si="32"/>
        <v>7119242.6732776798</v>
      </c>
      <c r="H110" s="618">
        <f t="shared" si="32"/>
        <v>12656431.419160321</v>
      </c>
      <c r="I110" s="618">
        <f t="shared" si="32"/>
        <v>18193620.165042963</v>
      </c>
      <c r="J110" s="618">
        <f t="shared" si="32"/>
        <v>24521835.87462312</v>
      </c>
      <c r="K110" s="618">
        <f t="shared" si="32"/>
        <v>30850051.584203284</v>
      </c>
      <c r="L110" s="618">
        <f t="shared" si="32"/>
        <v>37178267.293783441</v>
      </c>
      <c r="M110" s="618">
        <f t="shared" si="32"/>
        <v>43506483.003363609</v>
      </c>
      <c r="N110" s="618">
        <f t="shared" si="32"/>
        <v>50625725.676641285</v>
      </c>
      <c r="O110" s="618">
        <f t="shared" si="32"/>
        <v>60118049.241011523</v>
      </c>
      <c r="P110" s="618">
        <f t="shared" si="32"/>
        <v>69610372.80538176</v>
      </c>
      <c r="Q110" s="618">
        <f t="shared" si="32"/>
        <v>79102696.369752005</v>
      </c>
      <c r="R110" s="618">
        <f t="shared" si="32"/>
        <v>79102696.369752005</v>
      </c>
      <c r="S110" s="618">
        <f t="shared" si="32"/>
        <v>79102696.369752005</v>
      </c>
      <c r="T110" s="618">
        <f t="shared" si="32"/>
        <v>79102696.369752005</v>
      </c>
      <c r="U110" s="618">
        <f t="shared" si="32"/>
        <v>79102696.369752005</v>
      </c>
      <c r="V110" s="618">
        <f t="shared" si="32"/>
        <v>79102696.369752005</v>
      </c>
      <c r="W110" s="618">
        <f t="shared" si="32"/>
        <v>79102696.369752005</v>
      </c>
      <c r="X110" s="618">
        <f t="shared" si="32"/>
        <v>79102696.369752005</v>
      </c>
      <c r="Y110" s="618">
        <f t="shared" si="32"/>
        <v>79102696.369752005</v>
      </c>
      <c r="Z110" s="618">
        <f t="shared" si="32"/>
        <v>79102696.369752005</v>
      </c>
      <c r="AA110" s="618">
        <f t="shared" si="32"/>
        <v>79102696.369752005</v>
      </c>
      <c r="AB110" s="618">
        <f t="shared" si="32"/>
        <v>79102696.369752005</v>
      </c>
      <c r="AC110" s="618">
        <f t="shared" si="32"/>
        <v>79102696.369752005</v>
      </c>
      <c r="AD110" s="618">
        <f t="shared" si="32"/>
        <v>79102696.369752005</v>
      </c>
      <c r="AE110" s="618">
        <f t="shared" si="32"/>
        <v>79102696.369752005</v>
      </c>
      <c r="AF110" s="618">
        <f t="shared" si="32"/>
        <v>79102696.369752005</v>
      </c>
      <c r="AG110" s="618">
        <f t="shared" si="32"/>
        <v>79102696.369752005</v>
      </c>
      <c r="AH110" s="618">
        <f t="shared" si="32"/>
        <v>79102696.369752005</v>
      </c>
      <c r="AI110" s="975"/>
      <c r="AJ110" s="975"/>
      <c r="AK110" s="975"/>
    </row>
    <row r="111" spans="1:37" s="576" customFormat="1" x14ac:dyDescent="0.15">
      <c r="A111" s="974"/>
      <c r="B111" s="1261" t="s">
        <v>1207</v>
      </c>
      <c r="C111" s="979">
        <f>C110*$C$71</f>
        <v>0</v>
      </c>
      <c r="D111" s="979">
        <f t="shared" ref="D111:AH111" si="33">D110*$C$71</f>
        <v>0</v>
      </c>
      <c r="E111" s="979">
        <f>E110*$C$71</f>
        <v>0</v>
      </c>
      <c r="F111" s="979">
        <f t="shared" si="33"/>
        <v>474616.17821851204</v>
      </c>
      <c r="G111" s="979">
        <f t="shared" si="33"/>
        <v>1067886.4009916519</v>
      </c>
      <c r="H111" s="979">
        <f t="shared" si="33"/>
        <v>1898464.7128740482</v>
      </c>
      <c r="I111" s="979">
        <f t="shared" si="33"/>
        <v>2729043.0247564442</v>
      </c>
      <c r="J111" s="979">
        <f t="shared" si="33"/>
        <v>3678275.3811934679</v>
      </c>
      <c r="K111" s="979">
        <f t="shared" si="33"/>
        <v>4627507.7376304921</v>
      </c>
      <c r="L111" s="979">
        <f t="shared" si="33"/>
        <v>5576740.0940675158</v>
      </c>
      <c r="M111" s="979">
        <f t="shared" si="33"/>
        <v>6525972.4505045414</v>
      </c>
      <c r="N111" s="979">
        <f t="shared" si="33"/>
        <v>7593858.8514961926</v>
      </c>
      <c r="O111" s="979">
        <f t="shared" si="33"/>
        <v>9017707.3861517273</v>
      </c>
      <c r="P111" s="979">
        <f t="shared" si="33"/>
        <v>10441555.920807263</v>
      </c>
      <c r="Q111" s="979">
        <f t="shared" si="33"/>
        <v>11865404.4554628</v>
      </c>
      <c r="R111" s="979">
        <f t="shared" si="33"/>
        <v>11865404.4554628</v>
      </c>
      <c r="S111" s="979">
        <f t="shared" si="33"/>
        <v>11865404.4554628</v>
      </c>
      <c r="T111" s="979">
        <f t="shared" si="33"/>
        <v>11865404.4554628</v>
      </c>
      <c r="U111" s="979">
        <f t="shared" si="33"/>
        <v>11865404.4554628</v>
      </c>
      <c r="V111" s="979">
        <f t="shared" si="33"/>
        <v>11865404.4554628</v>
      </c>
      <c r="W111" s="979">
        <f t="shared" si="33"/>
        <v>11865404.4554628</v>
      </c>
      <c r="X111" s="979">
        <f t="shared" si="33"/>
        <v>11865404.4554628</v>
      </c>
      <c r="Y111" s="979">
        <f t="shared" si="33"/>
        <v>11865404.4554628</v>
      </c>
      <c r="Z111" s="979">
        <f t="shared" si="33"/>
        <v>11865404.4554628</v>
      </c>
      <c r="AA111" s="979">
        <f t="shared" si="33"/>
        <v>11865404.4554628</v>
      </c>
      <c r="AB111" s="979">
        <f t="shared" si="33"/>
        <v>11865404.4554628</v>
      </c>
      <c r="AC111" s="979">
        <f t="shared" si="33"/>
        <v>11865404.4554628</v>
      </c>
      <c r="AD111" s="979">
        <f t="shared" si="33"/>
        <v>11865404.4554628</v>
      </c>
      <c r="AE111" s="979">
        <f t="shared" si="33"/>
        <v>11865404.4554628</v>
      </c>
      <c r="AF111" s="979">
        <f t="shared" si="33"/>
        <v>11865404.4554628</v>
      </c>
      <c r="AG111" s="979">
        <f t="shared" si="33"/>
        <v>11865404.4554628</v>
      </c>
      <c r="AH111" s="979">
        <f t="shared" si="33"/>
        <v>11865404.4554628</v>
      </c>
      <c r="AI111" s="974"/>
      <c r="AJ111" s="974"/>
      <c r="AK111" s="974"/>
    </row>
    <row r="112" spans="1:37" x14ac:dyDescent="0.15">
      <c r="B112" s="1262" t="s">
        <v>2112</v>
      </c>
      <c r="C112" s="618">
        <f>C92*$D$41</f>
        <v>0</v>
      </c>
      <c r="D112" s="618">
        <f>D92*$D$41</f>
        <v>0</v>
      </c>
      <c r="E112" s="618">
        <f t="shared" ref="E112:P112" si="34">((E83*43560)*4.5)*0.667</f>
        <v>201315.73346375045</v>
      </c>
      <c r="F112" s="618">
        <f t="shared" si="34"/>
        <v>374950.55357623519</v>
      </c>
      <c r="G112" s="618">
        <f t="shared" si="34"/>
        <v>295682.48352488346</v>
      </c>
      <c r="H112" s="618">
        <f t="shared" si="34"/>
        <v>401373.2435933525</v>
      </c>
      <c r="I112" s="618">
        <f t="shared" si="34"/>
        <v>388791.01025186811</v>
      </c>
      <c r="J112" s="618">
        <f t="shared" si="34"/>
        <v>435345.27361536038</v>
      </c>
      <c r="K112" s="618">
        <f t="shared" si="34"/>
        <v>473091.97363981348</v>
      </c>
      <c r="L112" s="618">
        <f t="shared" si="34"/>
        <v>473091.97363981348</v>
      </c>
      <c r="M112" s="618">
        <f t="shared" si="34"/>
        <v>498256.44032278232</v>
      </c>
      <c r="N112" s="618">
        <f t="shared" si="34"/>
        <v>544810.70368627459</v>
      </c>
      <c r="O112" s="618">
        <f t="shared" si="34"/>
        <v>709637.96045972011</v>
      </c>
      <c r="P112" s="618">
        <f t="shared" si="34"/>
        <v>558651.16036190733</v>
      </c>
      <c r="Q112" s="618">
        <f t="shared" ref="Q112:AH112" si="35">P112</f>
        <v>558651.16036190733</v>
      </c>
      <c r="R112" s="618">
        <f t="shared" si="35"/>
        <v>558651.16036190733</v>
      </c>
      <c r="S112" s="618">
        <f t="shared" si="35"/>
        <v>558651.16036190733</v>
      </c>
      <c r="T112" s="618">
        <f t="shared" si="35"/>
        <v>558651.16036190733</v>
      </c>
      <c r="U112" s="618">
        <f t="shared" si="35"/>
        <v>558651.16036190733</v>
      </c>
      <c r="V112" s="618">
        <f t="shared" si="35"/>
        <v>558651.16036190733</v>
      </c>
      <c r="W112" s="618">
        <f t="shared" si="35"/>
        <v>558651.16036190733</v>
      </c>
      <c r="X112" s="618">
        <f t="shared" si="35"/>
        <v>558651.16036190733</v>
      </c>
      <c r="Y112" s="618">
        <f t="shared" si="35"/>
        <v>558651.16036190733</v>
      </c>
      <c r="Z112" s="618">
        <f t="shared" si="35"/>
        <v>558651.16036190733</v>
      </c>
      <c r="AA112" s="618">
        <f t="shared" si="35"/>
        <v>558651.16036190733</v>
      </c>
      <c r="AB112" s="618">
        <f t="shared" si="35"/>
        <v>558651.16036190733</v>
      </c>
      <c r="AC112" s="618">
        <f t="shared" si="35"/>
        <v>558651.16036190733</v>
      </c>
      <c r="AD112" s="618">
        <f t="shared" si="35"/>
        <v>558651.16036190733</v>
      </c>
      <c r="AE112" s="618">
        <f t="shared" si="35"/>
        <v>558651.16036190733</v>
      </c>
      <c r="AF112" s="618">
        <f t="shared" si="35"/>
        <v>558651.16036190733</v>
      </c>
      <c r="AG112" s="618">
        <f t="shared" si="35"/>
        <v>558651.16036190733</v>
      </c>
      <c r="AH112" s="618">
        <f t="shared" si="35"/>
        <v>558651.16036190733</v>
      </c>
      <c r="AI112" s="975"/>
      <c r="AJ112" s="975"/>
      <c r="AK112" s="975"/>
    </row>
    <row r="113" spans="2:37" x14ac:dyDescent="0.15">
      <c r="B113" s="1263" t="s">
        <v>2114</v>
      </c>
      <c r="C113" s="1264">
        <f t="shared" ref="C113:AH113" si="36">SUM(C110:C112)</f>
        <v>0</v>
      </c>
      <c r="D113" s="1264">
        <f t="shared" si="36"/>
        <v>0</v>
      </c>
      <c r="E113" s="1264">
        <f t="shared" si="36"/>
        <v>201315.73346375045</v>
      </c>
      <c r="F113" s="1264">
        <f t="shared" si="36"/>
        <v>4013674.5865848274</v>
      </c>
      <c r="G113" s="1264">
        <f t="shared" si="36"/>
        <v>8482811.5577942152</v>
      </c>
      <c r="H113" s="1264">
        <f t="shared" si="36"/>
        <v>14956269.375627721</v>
      </c>
      <c r="I113" s="1264">
        <f t="shared" si="36"/>
        <v>21311454.200051274</v>
      </c>
      <c r="J113" s="1264">
        <f t="shared" si="36"/>
        <v>28635456.529431947</v>
      </c>
      <c r="K113" s="1264">
        <f t="shared" si="36"/>
        <v>35950651.29547359</v>
      </c>
      <c r="L113" s="1265">
        <f t="shared" si="36"/>
        <v>43228099.361490771</v>
      </c>
      <c r="M113" s="1265">
        <f t="shared" si="36"/>
        <v>50530711.89419093</v>
      </c>
      <c r="N113" s="1265">
        <f t="shared" si="36"/>
        <v>58764395.23182375</v>
      </c>
      <c r="O113" s="1264">
        <f t="shared" si="36"/>
        <v>69845394.58762297</v>
      </c>
      <c r="P113" s="1265">
        <f t="shared" si="36"/>
        <v>80610579.886550918</v>
      </c>
      <c r="Q113" s="1265">
        <f t="shared" si="36"/>
        <v>91526751.985576704</v>
      </c>
      <c r="R113" s="1266">
        <f t="shared" si="36"/>
        <v>91526751.985576704</v>
      </c>
      <c r="S113" s="1267">
        <f t="shared" si="36"/>
        <v>91526751.985576704</v>
      </c>
      <c r="T113" s="1264">
        <f t="shared" si="36"/>
        <v>91526751.985576704</v>
      </c>
      <c r="U113" s="1267">
        <f t="shared" si="36"/>
        <v>91526751.985576704</v>
      </c>
      <c r="V113" s="1267">
        <f t="shared" si="36"/>
        <v>91526751.985576704</v>
      </c>
      <c r="W113" s="1267">
        <f t="shared" si="36"/>
        <v>91526751.985576704</v>
      </c>
      <c r="X113" s="1267">
        <f t="shared" si="36"/>
        <v>91526751.985576704</v>
      </c>
      <c r="Y113" s="1267">
        <f t="shared" si="36"/>
        <v>91526751.985576704</v>
      </c>
      <c r="Z113" s="1267">
        <f t="shared" si="36"/>
        <v>91526751.985576704</v>
      </c>
      <c r="AA113" s="1267">
        <f t="shared" si="36"/>
        <v>91526751.985576704</v>
      </c>
      <c r="AB113" s="1268">
        <f t="shared" si="36"/>
        <v>91526751.985576704</v>
      </c>
      <c r="AC113" s="1268">
        <f t="shared" si="36"/>
        <v>91526751.985576704</v>
      </c>
      <c r="AD113" s="1264">
        <f t="shared" si="36"/>
        <v>91526751.985576704</v>
      </c>
      <c r="AE113" s="1264">
        <f t="shared" si="36"/>
        <v>91526751.985576704</v>
      </c>
      <c r="AF113" s="1264">
        <f t="shared" si="36"/>
        <v>91526751.985576704</v>
      </c>
      <c r="AG113" s="1264">
        <f t="shared" si="36"/>
        <v>91526751.985576704</v>
      </c>
      <c r="AH113" s="1269">
        <f t="shared" si="36"/>
        <v>91526751.985576704</v>
      </c>
      <c r="AI113" s="975"/>
      <c r="AJ113" s="975"/>
      <c r="AK113" s="975"/>
    </row>
    <row r="114" spans="2:37" x14ac:dyDescent="0.15">
      <c r="B114" s="626" t="str">
        <f>B95</f>
        <v>Residential</v>
      </c>
      <c r="C114" s="1260">
        <f>C109</f>
        <v>2018</v>
      </c>
      <c r="D114" s="1260">
        <f t="shared" ref="D114:AH114" si="37">C114+1</f>
        <v>2019</v>
      </c>
      <c r="E114" s="1260">
        <f t="shared" si="37"/>
        <v>2020</v>
      </c>
      <c r="F114" s="1260">
        <f t="shared" si="37"/>
        <v>2021</v>
      </c>
      <c r="G114" s="1260">
        <f t="shared" si="37"/>
        <v>2022</v>
      </c>
      <c r="H114" s="1260">
        <f t="shared" si="37"/>
        <v>2023</v>
      </c>
      <c r="I114" s="1260">
        <f t="shared" si="37"/>
        <v>2024</v>
      </c>
      <c r="J114" s="1260">
        <f t="shared" si="37"/>
        <v>2025</v>
      </c>
      <c r="K114" s="1260">
        <f t="shared" si="37"/>
        <v>2026</v>
      </c>
      <c r="L114" s="617">
        <f t="shared" si="37"/>
        <v>2027</v>
      </c>
      <c r="M114" s="617">
        <f t="shared" si="37"/>
        <v>2028</v>
      </c>
      <c r="N114" s="617">
        <f t="shared" si="37"/>
        <v>2029</v>
      </c>
      <c r="O114" s="1260">
        <f t="shared" si="37"/>
        <v>2030</v>
      </c>
      <c r="P114" s="617">
        <f t="shared" si="37"/>
        <v>2031</v>
      </c>
      <c r="Q114" s="617">
        <f t="shared" si="37"/>
        <v>2032</v>
      </c>
      <c r="R114" s="617">
        <f t="shared" si="37"/>
        <v>2033</v>
      </c>
      <c r="S114" s="617">
        <f t="shared" si="37"/>
        <v>2034</v>
      </c>
      <c r="T114" s="1260">
        <f t="shared" si="37"/>
        <v>2035</v>
      </c>
      <c r="U114" s="617">
        <f t="shared" si="37"/>
        <v>2036</v>
      </c>
      <c r="V114" s="617">
        <f t="shared" si="37"/>
        <v>2037</v>
      </c>
      <c r="W114" s="617">
        <f t="shared" si="37"/>
        <v>2038</v>
      </c>
      <c r="X114" s="617">
        <f t="shared" si="37"/>
        <v>2039</v>
      </c>
      <c r="Y114" s="617">
        <f t="shared" si="37"/>
        <v>2040</v>
      </c>
      <c r="Z114" s="617">
        <f t="shared" si="37"/>
        <v>2041</v>
      </c>
      <c r="AA114" s="617">
        <f t="shared" si="37"/>
        <v>2042</v>
      </c>
      <c r="AB114" s="617">
        <f t="shared" si="37"/>
        <v>2043</v>
      </c>
      <c r="AC114" s="617">
        <f t="shared" si="37"/>
        <v>2044</v>
      </c>
      <c r="AD114" s="1260">
        <f t="shared" si="37"/>
        <v>2045</v>
      </c>
      <c r="AE114" s="1260">
        <f t="shared" si="37"/>
        <v>2046</v>
      </c>
      <c r="AF114" s="1260">
        <f t="shared" si="37"/>
        <v>2047</v>
      </c>
      <c r="AG114" s="1260">
        <f t="shared" si="37"/>
        <v>2048</v>
      </c>
      <c r="AH114" s="617">
        <f t="shared" si="37"/>
        <v>2049</v>
      </c>
      <c r="AI114" s="975"/>
      <c r="AJ114" s="975"/>
      <c r="AK114" s="975"/>
    </row>
    <row r="115" spans="2:37" x14ac:dyDescent="0.15">
      <c r="B115" s="1105" t="s">
        <v>1208</v>
      </c>
      <c r="C115" s="618">
        <f>C97*$F$10</f>
        <v>0</v>
      </c>
      <c r="D115" s="618">
        <f>D97*$F$10</f>
        <v>0</v>
      </c>
      <c r="E115" s="618">
        <f>E95*$F$11</f>
        <v>50242076.212987706</v>
      </c>
      <c r="F115" s="618">
        <f t="shared" ref="F115:AH115" si="38">F95*$F$11</f>
        <v>100484152.42597541</v>
      </c>
      <c r="G115" s="618">
        <f t="shared" si="38"/>
        <v>106859698.65097541</v>
      </c>
      <c r="H115" s="618">
        <f t="shared" si="38"/>
        <v>114510354.1209754</v>
      </c>
      <c r="I115" s="618">
        <f t="shared" si="38"/>
        <v>120885900.3459754</v>
      </c>
      <c r="J115" s="618">
        <f t="shared" si="38"/>
        <v>127261446.57097539</v>
      </c>
      <c r="K115" s="618">
        <f t="shared" si="38"/>
        <v>127261446.57097539</v>
      </c>
      <c r="L115" s="618">
        <f t="shared" si="38"/>
        <v>127261446.57097539</v>
      </c>
      <c r="M115" s="618">
        <f t="shared" si="38"/>
        <v>127261446.57097539</v>
      </c>
      <c r="N115" s="618">
        <f t="shared" si="38"/>
        <v>127261446.57097539</v>
      </c>
      <c r="O115" s="618">
        <f t="shared" si="38"/>
        <v>127261446.57097539</v>
      </c>
      <c r="P115" s="618">
        <f t="shared" si="38"/>
        <v>127261446.57097539</v>
      </c>
      <c r="Q115" s="618">
        <f t="shared" si="38"/>
        <v>127261446.57097539</v>
      </c>
      <c r="R115" s="618">
        <f t="shared" si="38"/>
        <v>127261446.57097539</v>
      </c>
      <c r="S115" s="618">
        <f t="shared" si="38"/>
        <v>127261446.57097539</v>
      </c>
      <c r="T115" s="618">
        <f t="shared" si="38"/>
        <v>127261446.57097539</v>
      </c>
      <c r="U115" s="618">
        <f t="shared" si="38"/>
        <v>127261446.57097539</v>
      </c>
      <c r="V115" s="618">
        <f t="shared" si="38"/>
        <v>127261446.57097539</v>
      </c>
      <c r="W115" s="618">
        <f t="shared" si="38"/>
        <v>127261446.57097539</v>
      </c>
      <c r="X115" s="618">
        <f t="shared" si="38"/>
        <v>127261446.57097539</v>
      </c>
      <c r="Y115" s="618">
        <f t="shared" si="38"/>
        <v>127261446.57097539</v>
      </c>
      <c r="Z115" s="618">
        <f t="shared" si="38"/>
        <v>127261446.57097539</v>
      </c>
      <c r="AA115" s="618">
        <f t="shared" si="38"/>
        <v>127261446.57097539</v>
      </c>
      <c r="AB115" s="618">
        <f t="shared" si="38"/>
        <v>127261446.57097539</v>
      </c>
      <c r="AC115" s="618">
        <f t="shared" si="38"/>
        <v>127261446.57097539</v>
      </c>
      <c r="AD115" s="618">
        <f t="shared" si="38"/>
        <v>127261446.57097539</v>
      </c>
      <c r="AE115" s="618">
        <f t="shared" si="38"/>
        <v>127261446.57097539</v>
      </c>
      <c r="AF115" s="618">
        <f t="shared" si="38"/>
        <v>127261446.57097539</v>
      </c>
      <c r="AG115" s="618">
        <f t="shared" si="38"/>
        <v>127261446.57097539</v>
      </c>
      <c r="AH115" s="618">
        <f t="shared" si="38"/>
        <v>127261446.57097539</v>
      </c>
      <c r="AI115" s="975"/>
      <c r="AJ115" s="975"/>
      <c r="AK115" s="975"/>
    </row>
    <row r="116" spans="2:37" x14ac:dyDescent="0.15">
      <c r="B116" s="1261" t="s">
        <v>1207</v>
      </c>
      <c r="C116" s="979">
        <f>C115*$C$71</f>
        <v>0</v>
      </c>
      <c r="D116" s="979">
        <f>D115*$C$71</f>
        <v>0</v>
      </c>
      <c r="E116" s="979">
        <v>0</v>
      </c>
      <c r="F116" s="979">
        <v>0</v>
      </c>
      <c r="G116" s="979">
        <f>F116</f>
        <v>0</v>
      </c>
      <c r="H116" s="979">
        <f t="shared" ref="H116:W117" si="39">G116</f>
        <v>0</v>
      </c>
      <c r="I116" s="979">
        <f t="shared" si="39"/>
        <v>0</v>
      </c>
      <c r="J116" s="979">
        <f t="shared" si="39"/>
        <v>0</v>
      </c>
      <c r="K116" s="979">
        <f t="shared" si="39"/>
        <v>0</v>
      </c>
      <c r="L116" s="979">
        <f t="shared" si="39"/>
        <v>0</v>
      </c>
      <c r="M116" s="979">
        <f t="shared" si="39"/>
        <v>0</v>
      </c>
      <c r="N116" s="979">
        <f t="shared" si="39"/>
        <v>0</v>
      </c>
      <c r="O116" s="979">
        <f t="shared" si="39"/>
        <v>0</v>
      </c>
      <c r="P116" s="979">
        <f t="shared" si="39"/>
        <v>0</v>
      </c>
      <c r="Q116" s="979">
        <f t="shared" si="39"/>
        <v>0</v>
      </c>
      <c r="R116" s="979">
        <f t="shared" si="39"/>
        <v>0</v>
      </c>
      <c r="S116" s="979">
        <f t="shared" si="39"/>
        <v>0</v>
      </c>
      <c r="T116" s="979">
        <f t="shared" si="39"/>
        <v>0</v>
      </c>
      <c r="U116" s="979">
        <f t="shared" si="39"/>
        <v>0</v>
      </c>
      <c r="V116" s="979">
        <f t="shared" si="39"/>
        <v>0</v>
      </c>
      <c r="W116" s="979">
        <f t="shared" si="39"/>
        <v>0</v>
      </c>
      <c r="X116" s="979">
        <f t="shared" ref="X116:AH117" si="40">W116</f>
        <v>0</v>
      </c>
      <c r="Y116" s="979">
        <f t="shared" si="40"/>
        <v>0</v>
      </c>
      <c r="Z116" s="979">
        <f t="shared" si="40"/>
        <v>0</v>
      </c>
      <c r="AA116" s="979">
        <f t="shared" si="40"/>
        <v>0</v>
      </c>
      <c r="AB116" s="979">
        <f t="shared" si="40"/>
        <v>0</v>
      </c>
      <c r="AC116" s="979">
        <f t="shared" si="40"/>
        <v>0</v>
      </c>
      <c r="AD116" s="979">
        <f t="shared" si="40"/>
        <v>0</v>
      </c>
      <c r="AE116" s="979">
        <f t="shared" si="40"/>
        <v>0</v>
      </c>
      <c r="AF116" s="979">
        <f t="shared" si="40"/>
        <v>0</v>
      </c>
      <c r="AG116" s="979">
        <f t="shared" si="40"/>
        <v>0</v>
      </c>
      <c r="AH116" s="979">
        <f t="shared" si="40"/>
        <v>0</v>
      </c>
      <c r="AI116" s="975"/>
      <c r="AJ116" s="975"/>
      <c r="AK116" s="975"/>
    </row>
    <row r="117" spans="2:37" x14ac:dyDescent="0.15">
      <c r="B117" s="1262" t="s">
        <v>2112</v>
      </c>
      <c r="C117" s="618">
        <f>C97*$D$41</f>
        <v>0</v>
      </c>
      <c r="D117" s="618">
        <f>D97*$D$41</f>
        <v>0</v>
      </c>
      <c r="E117" s="618">
        <f t="shared" ref="E117:O117" si="41">(E87*43560)*4.5</f>
        <v>3939380.7117079399</v>
      </c>
      <c r="F117" s="618">
        <f t="shared" si="41"/>
        <v>3939380.7117079399</v>
      </c>
      <c r="G117" s="618">
        <f t="shared" si="41"/>
        <v>499893.82840980001</v>
      </c>
      <c r="H117" s="618">
        <f t="shared" si="41"/>
        <v>599872.59409175999</v>
      </c>
      <c r="I117" s="618">
        <f t="shared" si="41"/>
        <v>499893.82840980001</v>
      </c>
      <c r="J117" s="618">
        <f t="shared" si="41"/>
        <v>499893.82840980001</v>
      </c>
      <c r="K117" s="618">
        <f t="shared" si="41"/>
        <v>0</v>
      </c>
      <c r="L117" s="618">
        <f t="shared" si="41"/>
        <v>0</v>
      </c>
      <c r="M117" s="618">
        <f t="shared" si="41"/>
        <v>0</v>
      </c>
      <c r="N117" s="618">
        <f t="shared" si="41"/>
        <v>0</v>
      </c>
      <c r="O117" s="618">
        <f t="shared" si="41"/>
        <v>0</v>
      </c>
      <c r="P117" s="618">
        <f>O117</f>
        <v>0</v>
      </c>
      <c r="Q117" s="618">
        <f t="shared" si="39"/>
        <v>0</v>
      </c>
      <c r="R117" s="618">
        <f t="shared" si="39"/>
        <v>0</v>
      </c>
      <c r="S117" s="618">
        <f t="shared" si="39"/>
        <v>0</v>
      </c>
      <c r="T117" s="618">
        <f t="shared" si="39"/>
        <v>0</v>
      </c>
      <c r="U117" s="618">
        <f t="shared" si="39"/>
        <v>0</v>
      </c>
      <c r="V117" s="618">
        <f t="shared" si="39"/>
        <v>0</v>
      </c>
      <c r="W117" s="618">
        <f t="shared" si="39"/>
        <v>0</v>
      </c>
      <c r="X117" s="618">
        <f t="shared" si="40"/>
        <v>0</v>
      </c>
      <c r="Y117" s="618">
        <f t="shared" si="40"/>
        <v>0</v>
      </c>
      <c r="Z117" s="618">
        <f t="shared" si="40"/>
        <v>0</v>
      </c>
      <c r="AA117" s="618">
        <f t="shared" si="40"/>
        <v>0</v>
      </c>
      <c r="AB117" s="618">
        <f t="shared" si="40"/>
        <v>0</v>
      </c>
      <c r="AC117" s="618">
        <f t="shared" si="40"/>
        <v>0</v>
      </c>
      <c r="AD117" s="618">
        <f t="shared" si="40"/>
        <v>0</v>
      </c>
      <c r="AE117" s="618">
        <f t="shared" si="40"/>
        <v>0</v>
      </c>
      <c r="AF117" s="618">
        <f t="shared" si="40"/>
        <v>0</v>
      </c>
      <c r="AG117" s="618">
        <f t="shared" si="40"/>
        <v>0</v>
      </c>
      <c r="AH117" s="618">
        <f t="shared" si="40"/>
        <v>0</v>
      </c>
      <c r="AI117" s="975"/>
      <c r="AJ117" s="975"/>
      <c r="AK117" s="975"/>
    </row>
    <row r="118" spans="2:37" x14ac:dyDescent="0.15">
      <c r="B118" s="1263" t="s">
        <v>2115</v>
      </c>
      <c r="C118" s="1264">
        <f>SUM(C115:C117)</f>
        <v>0</v>
      </c>
      <c r="D118" s="1264">
        <f>SUM(D115:D117)</f>
        <v>0</v>
      </c>
      <c r="E118" s="1264">
        <f>SUM(E115:E117)*0.55</f>
        <v>29799801.308582608</v>
      </c>
      <c r="F118" s="1264">
        <f t="shared" ref="F118:AH118" si="42">SUM(F115:F117)*0.55</f>
        <v>57432943.225725845</v>
      </c>
      <c r="G118" s="1264">
        <f t="shared" si="42"/>
        <v>59047775.86366187</v>
      </c>
      <c r="H118" s="1264">
        <f t="shared" si="42"/>
        <v>63310624.693286948</v>
      </c>
      <c r="I118" s="1264">
        <f t="shared" si="42"/>
        <v>66762186.795911871</v>
      </c>
      <c r="J118" s="1264">
        <f t="shared" si="42"/>
        <v>70268737.219661862</v>
      </c>
      <c r="K118" s="1264">
        <f t="shared" si="42"/>
        <v>69993795.614036471</v>
      </c>
      <c r="L118" s="1264">
        <f t="shared" si="42"/>
        <v>69993795.614036471</v>
      </c>
      <c r="M118" s="1264">
        <f t="shared" si="42"/>
        <v>69993795.614036471</v>
      </c>
      <c r="N118" s="1264">
        <f t="shared" si="42"/>
        <v>69993795.614036471</v>
      </c>
      <c r="O118" s="1264">
        <f t="shared" si="42"/>
        <v>69993795.614036471</v>
      </c>
      <c r="P118" s="1264">
        <f t="shared" si="42"/>
        <v>69993795.614036471</v>
      </c>
      <c r="Q118" s="1264">
        <f t="shared" si="42"/>
        <v>69993795.614036471</v>
      </c>
      <c r="R118" s="1264">
        <f t="shared" si="42"/>
        <v>69993795.614036471</v>
      </c>
      <c r="S118" s="1264">
        <f t="shared" si="42"/>
        <v>69993795.614036471</v>
      </c>
      <c r="T118" s="1264">
        <f t="shared" si="42"/>
        <v>69993795.614036471</v>
      </c>
      <c r="U118" s="1264">
        <f t="shared" si="42"/>
        <v>69993795.614036471</v>
      </c>
      <c r="V118" s="1264">
        <f t="shared" si="42"/>
        <v>69993795.614036471</v>
      </c>
      <c r="W118" s="1264">
        <f t="shared" si="42"/>
        <v>69993795.614036471</v>
      </c>
      <c r="X118" s="1264">
        <f t="shared" si="42"/>
        <v>69993795.614036471</v>
      </c>
      <c r="Y118" s="1264">
        <f t="shared" si="42"/>
        <v>69993795.614036471</v>
      </c>
      <c r="Z118" s="1264">
        <f t="shared" si="42"/>
        <v>69993795.614036471</v>
      </c>
      <c r="AA118" s="1264">
        <f t="shared" si="42"/>
        <v>69993795.614036471</v>
      </c>
      <c r="AB118" s="1264">
        <f t="shared" si="42"/>
        <v>69993795.614036471</v>
      </c>
      <c r="AC118" s="1264">
        <f t="shared" si="42"/>
        <v>69993795.614036471</v>
      </c>
      <c r="AD118" s="1264">
        <f t="shared" si="42"/>
        <v>69993795.614036471</v>
      </c>
      <c r="AE118" s="1264">
        <f t="shared" si="42"/>
        <v>69993795.614036471</v>
      </c>
      <c r="AF118" s="1264">
        <f t="shared" si="42"/>
        <v>69993795.614036471</v>
      </c>
      <c r="AG118" s="1264">
        <f t="shared" si="42"/>
        <v>69993795.614036471</v>
      </c>
      <c r="AH118" s="1264">
        <f t="shared" si="42"/>
        <v>69993795.614036471</v>
      </c>
      <c r="AI118" s="975"/>
      <c r="AJ118" s="975"/>
      <c r="AK118" s="975"/>
    </row>
    <row r="119" spans="2:37" x14ac:dyDescent="0.15">
      <c r="B119" s="1270" t="s">
        <v>1210</v>
      </c>
      <c r="C119" s="1271">
        <f>C108+C113</f>
        <v>0</v>
      </c>
      <c r="D119" s="1271">
        <f>D108+D113</f>
        <v>0</v>
      </c>
      <c r="E119" s="1271">
        <f>E108+E113+E118</f>
        <v>33456886.221829649</v>
      </c>
      <c r="F119" s="1271">
        <f t="shared" ref="F119:Z119" si="43">F108+F113+F118</f>
        <v>68134632.576486737</v>
      </c>
      <c r="G119" s="1271">
        <f t="shared" si="43"/>
        <v>75227547.017072052</v>
      </c>
      <c r="H119" s="1271">
        <f t="shared" si="43"/>
        <v>87274843.150257468</v>
      </c>
      <c r="I119" s="1271">
        <f t="shared" si="43"/>
        <v>98123827.837717935</v>
      </c>
      <c r="J119" s="1271">
        <f t="shared" si="43"/>
        <v>110026142.26940565</v>
      </c>
      <c r="K119" s="1271">
        <f t="shared" si="43"/>
        <v>118762871.59615497</v>
      </c>
      <c r="L119" s="1271">
        <f t="shared" si="43"/>
        <v>127717950.77437007</v>
      </c>
      <c r="M119" s="1271">
        <f t="shared" si="43"/>
        <v>137130165.56674105</v>
      </c>
      <c r="N119" s="1271">
        <f t="shared" si="43"/>
        <v>147484130.02805462</v>
      </c>
      <c r="O119" s="1271">
        <f t="shared" si="43"/>
        <v>161163866.12187421</v>
      </c>
      <c r="P119" s="1271">
        <f t="shared" si="43"/>
        <v>171853671.20426157</v>
      </c>
      <c r="Q119" s="1271">
        <f t="shared" si="43"/>
        <v>182769843.30328736</v>
      </c>
      <c r="R119" s="1271">
        <f t="shared" si="43"/>
        <v>182769843.30328736</v>
      </c>
      <c r="S119" s="1271">
        <f t="shared" si="43"/>
        <v>182769843.30328736</v>
      </c>
      <c r="T119" s="1271">
        <f t="shared" si="43"/>
        <v>182769843.30328736</v>
      </c>
      <c r="U119" s="1271">
        <f t="shared" si="43"/>
        <v>182769843.30328736</v>
      </c>
      <c r="V119" s="1271">
        <f t="shared" si="43"/>
        <v>182769843.30328736</v>
      </c>
      <c r="W119" s="1271">
        <f t="shared" si="43"/>
        <v>182769843.30328736</v>
      </c>
      <c r="X119" s="1271">
        <f t="shared" si="43"/>
        <v>182769843.30328736</v>
      </c>
      <c r="Y119" s="1271">
        <f t="shared" si="43"/>
        <v>182769843.30328736</v>
      </c>
      <c r="Z119" s="1271">
        <f t="shared" si="43"/>
        <v>182769843.30328736</v>
      </c>
      <c r="AA119" s="1271" t="e">
        <f>AA108+AA113+AA118+#REF!</f>
        <v>#REF!</v>
      </c>
      <c r="AB119" s="1271" t="e">
        <f>AB108+AB113+AB118+#REF!</f>
        <v>#REF!</v>
      </c>
      <c r="AC119" s="1271" t="e">
        <f>AC108+AC113+AC118+#REF!</f>
        <v>#REF!</v>
      </c>
      <c r="AD119" s="1271" t="e">
        <f>AD108+AD113+AD118+#REF!</f>
        <v>#REF!</v>
      </c>
      <c r="AE119" s="1271" t="e">
        <f>AE108+AE113+AE118+#REF!</f>
        <v>#REF!</v>
      </c>
      <c r="AF119" s="1271" t="e">
        <f>AF108+AF113+AF118+#REF!</f>
        <v>#REF!</v>
      </c>
      <c r="AG119" s="1271" t="e">
        <f>AG108+AG113+AG118+#REF!</f>
        <v>#REF!</v>
      </c>
      <c r="AH119" s="1271" t="e">
        <f>AH108+AH113+AH118+#REF!</f>
        <v>#REF!</v>
      </c>
      <c r="AI119" s="975"/>
      <c r="AJ119" s="621"/>
      <c r="AK119" s="975"/>
    </row>
    <row r="120" spans="2:37" x14ac:dyDescent="0.15">
      <c r="C120" s="604"/>
      <c r="D120" s="604"/>
      <c r="E120" s="604"/>
      <c r="F120" s="604"/>
      <c r="G120" s="604"/>
      <c r="H120" s="605"/>
      <c r="I120" s="605"/>
      <c r="J120" s="605"/>
      <c r="K120" s="605"/>
      <c r="L120" s="605"/>
      <c r="Q120" s="601">
        <f>Q115*0.55</f>
        <v>69993795.614036471</v>
      </c>
      <c r="R120" s="1077"/>
      <c r="AI120" s="975"/>
      <c r="AJ120" s="593"/>
    </row>
    <row r="121" spans="2:37" x14ac:dyDescent="0.15">
      <c r="R121" s="601"/>
      <c r="S121" s="601"/>
      <c r="AI121" s="975"/>
      <c r="AJ121" s="975"/>
      <c r="AK121" s="975"/>
    </row>
    <row r="122" spans="2:37" x14ac:dyDescent="0.15">
      <c r="R122" s="1077"/>
      <c r="AI122" s="975"/>
      <c r="AJ122" s="975"/>
    </row>
  </sheetData>
  <mergeCells count="4">
    <mergeCell ref="P7:Q7"/>
    <mergeCell ref="AA33:AE33"/>
    <mergeCell ref="B56:C56"/>
    <mergeCell ref="B66:F66"/>
  </mergeCells>
  <phoneticPr fontId="18" type="noConversion"/>
  <conditionalFormatting sqref="C105:AH108 C110:AH113 C119:AH119">
    <cfRule type="cellIs" dxfId="10" priority="6" operator="greaterThan">
      <formula>0</formula>
    </cfRule>
  </conditionalFormatting>
  <conditionalFormatting sqref="C76:AH78">
    <cfRule type="cellIs" dxfId="9" priority="5" operator="greaterThan">
      <formula>0</formula>
    </cfRule>
  </conditionalFormatting>
  <conditionalFormatting sqref="C117:D117 C115:AH116 C118:AH118">
    <cfRule type="cellIs" dxfId="8" priority="4" operator="greaterThan">
      <formula>0</formula>
    </cfRule>
  </conditionalFormatting>
  <conditionalFormatting sqref="E117:AH117">
    <cfRule type="cellIs" dxfId="7" priority="3" operator="greaterThan">
      <formula>0</formula>
    </cfRule>
  </conditionalFormatting>
  <printOptions horizontalCentered="1"/>
  <pageMargins left="0.4" right="0.31" top="0.28000000000000003" bottom="0.28999999999999998" header="0.18" footer="0.17"/>
  <pageSetup paperSize="119" scale="83" fitToHeight="3" orientation="landscape" r:id="rId1"/>
  <headerFooter alignWithMargins="0">
    <oddFooter>&amp;R&amp;Z
&amp;F</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1"/>
  <sheetViews>
    <sheetView workbookViewId="0">
      <selection activeCell="J35" sqref="J35"/>
    </sheetView>
  </sheetViews>
  <sheetFormatPr baseColWidth="10" defaultColWidth="8.83203125" defaultRowHeight="13" outlineLevelRow="1" x14ac:dyDescent="0.15"/>
  <cols>
    <col min="4" max="4" width="9.83203125" bestFit="1" customWidth="1"/>
    <col min="14" max="14" width="10.83203125" customWidth="1"/>
  </cols>
  <sheetData>
    <row r="1" spans="1:5" x14ac:dyDescent="0.15">
      <c r="A1" t="s">
        <v>16</v>
      </c>
    </row>
    <row r="2" spans="1:5" x14ac:dyDescent="0.15">
      <c r="A2" t="s">
        <v>17</v>
      </c>
      <c r="B2" t="s">
        <v>18</v>
      </c>
      <c r="C2" t="s">
        <v>19</v>
      </c>
      <c r="D2" t="s">
        <v>20</v>
      </c>
    </row>
    <row r="3" spans="1:5" x14ac:dyDescent="0.15">
      <c r="A3" s="10">
        <v>36495</v>
      </c>
      <c r="B3">
        <v>100</v>
      </c>
    </row>
    <row r="4" spans="1:5" x14ac:dyDescent="0.15">
      <c r="A4" s="10">
        <v>36861</v>
      </c>
      <c r="B4">
        <v>102</v>
      </c>
      <c r="C4" s="11">
        <f t="shared" ref="C4:C9" si="0">B4/B3-1</f>
        <v>2.0000000000000018E-2</v>
      </c>
      <c r="E4" s="12"/>
    </row>
    <row r="5" spans="1:5" x14ac:dyDescent="0.15">
      <c r="A5" s="10">
        <v>37226</v>
      </c>
      <c r="B5">
        <v>104.3</v>
      </c>
      <c r="C5" s="11">
        <f t="shared" si="0"/>
        <v>2.2549019607843057E-2</v>
      </c>
      <c r="E5" s="12"/>
    </row>
    <row r="6" spans="1:5" x14ac:dyDescent="0.15">
      <c r="A6" s="10">
        <v>37591</v>
      </c>
      <c r="B6">
        <v>105.6</v>
      </c>
      <c r="C6" s="11">
        <f t="shared" si="0"/>
        <v>1.2464046021092967E-2</v>
      </c>
      <c r="E6" s="12"/>
    </row>
    <row r="7" spans="1:5" x14ac:dyDescent="0.15">
      <c r="A7" s="10">
        <v>37956</v>
      </c>
      <c r="B7">
        <v>107.8</v>
      </c>
      <c r="C7" s="11">
        <f t="shared" si="0"/>
        <v>2.0833333333333259E-2</v>
      </c>
      <c r="E7" s="12"/>
    </row>
    <row r="8" spans="1:5" ht="14" thickBot="1" x14ac:dyDescent="0.2">
      <c r="A8" s="10">
        <v>38322</v>
      </c>
      <c r="B8">
        <v>110.5</v>
      </c>
      <c r="C8" s="11">
        <f t="shared" si="0"/>
        <v>2.5046382189239269E-2</v>
      </c>
      <c r="D8" s="13">
        <f>AVERAGE(C4:C8)</f>
        <v>2.0178556230301715E-2</v>
      </c>
      <c r="E8" s="12"/>
    </row>
    <row r="9" spans="1:5" ht="14" thickBot="1" x14ac:dyDescent="0.2">
      <c r="A9" s="10">
        <v>38687</v>
      </c>
      <c r="B9">
        <v>113.6</v>
      </c>
      <c r="C9" s="11">
        <f t="shared" si="0"/>
        <v>2.8054298642533837E-2</v>
      </c>
      <c r="D9" s="14">
        <f>AVERAGE(C5:C9)</f>
        <v>2.1789415958808477E-2</v>
      </c>
      <c r="E9" s="12"/>
    </row>
    <row r="10" spans="1:5" x14ac:dyDescent="0.15">
      <c r="A10" t="s">
        <v>21</v>
      </c>
      <c r="E10" s="12"/>
    </row>
    <row r="11" spans="1:5" x14ac:dyDescent="0.15">
      <c r="E11" s="12"/>
    </row>
    <row r="12" spans="1:5" x14ac:dyDescent="0.15">
      <c r="A12" t="s">
        <v>22</v>
      </c>
      <c r="E12" s="12"/>
    </row>
    <row r="13" spans="1:5" x14ac:dyDescent="0.15">
      <c r="A13" t="s">
        <v>17</v>
      </c>
      <c r="B13" t="s">
        <v>18</v>
      </c>
      <c r="C13" t="s">
        <v>19</v>
      </c>
      <c r="D13" t="s">
        <v>20</v>
      </c>
      <c r="E13" s="12"/>
    </row>
    <row r="14" spans="1:5" x14ac:dyDescent="0.15">
      <c r="A14" s="10">
        <v>36495</v>
      </c>
      <c r="B14">
        <v>100</v>
      </c>
      <c r="E14" s="12"/>
    </row>
    <row r="15" spans="1:5" x14ac:dyDescent="0.15">
      <c r="A15" s="10">
        <v>36861</v>
      </c>
      <c r="B15">
        <v>98.5</v>
      </c>
      <c r="C15" s="11">
        <f t="shared" ref="C15:C20" si="1">B15/B14-1</f>
        <v>-1.5000000000000013E-2</v>
      </c>
      <c r="E15" s="12"/>
    </row>
    <row r="16" spans="1:5" x14ac:dyDescent="0.15">
      <c r="A16" s="10">
        <v>37226</v>
      </c>
      <c r="B16">
        <v>97.5</v>
      </c>
      <c r="C16" s="11">
        <f t="shared" si="1"/>
        <v>-1.0152284263959421E-2</v>
      </c>
    </row>
    <row r="17" spans="1:15" x14ac:dyDescent="0.15">
      <c r="A17" s="10">
        <v>37591</v>
      </c>
      <c r="B17">
        <v>98.4</v>
      </c>
      <c r="C17" s="11">
        <f t="shared" si="1"/>
        <v>9.2307692307693756E-3</v>
      </c>
    </row>
    <row r="18" spans="1:15" x14ac:dyDescent="0.15">
      <c r="A18" s="10">
        <v>37956</v>
      </c>
      <c r="B18">
        <v>99.3</v>
      </c>
      <c r="C18" s="11">
        <f t="shared" si="1"/>
        <v>9.1463414634145312E-3</v>
      </c>
    </row>
    <row r="19" spans="1:15" ht="14" thickBot="1" x14ac:dyDescent="0.2">
      <c r="A19" s="10">
        <v>38322</v>
      </c>
      <c r="B19">
        <v>100.4</v>
      </c>
      <c r="C19" s="11">
        <f t="shared" si="1"/>
        <v>1.1077542799597273E-2</v>
      </c>
      <c r="D19" s="13">
        <f>AVERAGE(C15:C19)</f>
        <v>8.6047384596434908E-4</v>
      </c>
    </row>
    <row r="20" spans="1:15" ht="14" thickBot="1" x14ac:dyDescent="0.2">
      <c r="A20" s="10">
        <v>38687</v>
      </c>
      <c r="B20">
        <v>101.6</v>
      </c>
      <c r="C20" s="11">
        <f t="shared" si="1"/>
        <v>1.195219123505975E-2</v>
      </c>
      <c r="D20" s="14">
        <f>AVERAGE(C16:C20)</f>
        <v>6.250912092976302E-3</v>
      </c>
    </row>
    <row r="21" spans="1:15" x14ac:dyDescent="0.15">
      <c r="A21" t="s">
        <v>23</v>
      </c>
    </row>
    <row r="24" spans="1:15" ht="14" hidden="1" outlineLevel="1" thickBot="1" x14ac:dyDescent="0.2">
      <c r="A24" s="18" t="s">
        <v>57</v>
      </c>
    </row>
    <row r="25" spans="1:15" ht="27" hidden="1" outlineLevel="1" thickBot="1" x14ac:dyDescent="0.2">
      <c r="A25" s="36"/>
      <c r="B25" s="33" t="s">
        <v>43</v>
      </c>
      <c r="C25" s="33" t="s">
        <v>44</v>
      </c>
      <c r="D25" s="33" t="s">
        <v>45</v>
      </c>
      <c r="E25" s="33" t="s">
        <v>46</v>
      </c>
      <c r="F25" s="33" t="s">
        <v>47</v>
      </c>
      <c r="G25" s="33" t="s">
        <v>48</v>
      </c>
      <c r="H25" s="33" t="s">
        <v>49</v>
      </c>
      <c r="I25" s="33" t="s">
        <v>50</v>
      </c>
      <c r="J25" s="33" t="s">
        <v>51</v>
      </c>
      <c r="K25" s="33" t="s">
        <v>52</v>
      </c>
      <c r="L25" s="33" t="s">
        <v>53</v>
      </c>
      <c r="M25" s="33" t="s">
        <v>54</v>
      </c>
      <c r="N25" s="33" t="s">
        <v>55</v>
      </c>
      <c r="O25" s="33" t="s">
        <v>58</v>
      </c>
    </row>
    <row r="26" spans="1:15" ht="14" hidden="1" outlineLevel="1" thickBot="1" x14ac:dyDescent="0.2">
      <c r="A26" s="36">
        <v>2000</v>
      </c>
      <c r="B26" s="32">
        <v>6130</v>
      </c>
      <c r="C26" s="32">
        <v>6160</v>
      </c>
      <c r="D26" s="32">
        <v>6202</v>
      </c>
      <c r="E26" s="32">
        <v>6201</v>
      </c>
      <c r="F26" s="32">
        <v>6233</v>
      </c>
      <c r="G26" s="32">
        <v>6238</v>
      </c>
      <c r="H26" s="32">
        <v>6225</v>
      </c>
      <c r="I26" s="32">
        <v>6233</v>
      </c>
      <c r="J26" s="32">
        <v>6224</v>
      </c>
      <c r="K26" s="32">
        <v>6259</v>
      </c>
      <c r="L26" s="32">
        <v>6266</v>
      </c>
      <c r="M26" s="32">
        <v>6283</v>
      </c>
      <c r="N26" s="32">
        <v>6221</v>
      </c>
      <c r="O26" s="38">
        <f>(M26-B26)/B26</f>
        <v>2.4959216965742253E-2</v>
      </c>
    </row>
    <row r="27" spans="1:15" ht="14" hidden="1" outlineLevel="1" thickBot="1" x14ac:dyDescent="0.2">
      <c r="A27" s="36">
        <v>2001</v>
      </c>
      <c r="B27" s="32">
        <v>6281</v>
      </c>
      <c r="C27" s="32">
        <v>6272</v>
      </c>
      <c r="D27" s="32">
        <v>6279</v>
      </c>
      <c r="E27" s="32">
        <v>6286</v>
      </c>
      <c r="F27" s="32">
        <v>6288</v>
      </c>
      <c r="G27" s="32">
        <v>6318</v>
      </c>
      <c r="H27" s="32">
        <v>6404</v>
      </c>
      <c r="I27" s="32">
        <v>6389</v>
      </c>
      <c r="J27" s="32">
        <v>6391</v>
      </c>
      <c r="K27" s="32">
        <v>6397</v>
      </c>
      <c r="L27" s="32">
        <v>6410</v>
      </c>
      <c r="M27" s="32">
        <v>6390</v>
      </c>
      <c r="N27" s="32">
        <v>6343</v>
      </c>
      <c r="O27" s="38">
        <f t="shared" ref="O27:O34" si="2">(M27-B27)/B27</f>
        <v>1.7353924534309822E-2</v>
      </c>
    </row>
    <row r="28" spans="1:15" ht="14" hidden="1" outlineLevel="1" thickBot="1" x14ac:dyDescent="0.2">
      <c r="A28" s="36">
        <v>2002</v>
      </c>
      <c r="B28" s="32">
        <v>6462</v>
      </c>
      <c r="C28" s="32">
        <v>6462</v>
      </c>
      <c r="D28" s="32">
        <v>6502</v>
      </c>
      <c r="E28" s="32">
        <v>6480</v>
      </c>
      <c r="F28" s="32">
        <v>6512</v>
      </c>
      <c r="G28" s="32">
        <v>6532</v>
      </c>
      <c r="H28" s="32">
        <v>6605</v>
      </c>
      <c r="I28" s="32">
        <v>6592</v>
      </c>
      <c r="J28" s="32">
        <v>6589</v>
      </c>
      <c r="K28" s="32">
        <v>6579</v>
      </c>
      <c r="L28" s="32">
        <v>6578</v>
      </c>
      <c r="M28" s="32">
        <v>6563</v>
      </c>
      <c r="N28" s="32">
        <v>6538</v>
      </c>
      <c r="O28" s="38">
        <f t="shared" si="2"/>
        <v>1.5629835964097803E-2</v>
      </c>
    </row>
    <row r="29" spans="1:15" ht="14" hidden="1" outlineLevel="1" thickBot="1" x14ac:dyDescent="0.2">
      <c r="A29" s="36">
        <v>2003</v>
      </c>
      <c r="B29" s="32">
        <v>6581</v>
      </c>
      <c r="C29" s="32">
        <v>6640</v>
      </c>
      <c r="D29" s="32">
        <v>6627</v>
      </c>
      <c r="E29" s="32">
        <v>6635</v>
      </c>
      <c r="F29" s="32">
        <v>6642</v>
      </c>
      <c r="G29" s="32">
        <v>6694</v>
      </c>
      <c r="H29" s="32">
        <v>6695</v>
      </c>
      <c r="I29" s="32">
        <v>6733</v>
      </c>
      <c r="J29" s="32">
        <v>6741</v>
      </c>
      <c r="K29" s="32">
        <v>6771</v>
      </c>
      <c r="L29" s="32">
        <v>6794</v>
      </c>
      <c r="M29" s="32">
        <v>6782</v>
      </c>
      <c r="N29" s="32">
        <v>6694</v>
      </c>
      <c r="O29" s="38">
        <f t="shared" si="2"/>
        <v>3.0542470749126274E-2</v>
      </c>
    </row>
    <row r="30" spans="1:15" ht="14" hidden="1" outlineLevel="1" thickBot="1" x14ac:dyDescent="0.2">
      <c r="A30" s="36">
        <v>2004</v>
      </c>
      <c r="B30" s="32">
        <v>6825</v>
      </c>
      <c r="C30" s="32">
        <v>6862</v>
      </c>
      <c r="D30" s="32">
        <v>6957</v>
      </c>
      <c r="E30" s="32">
        <v>7017</v>
      </c>
      <c r="F30" s="32">
        <v>7065</v>
      </c>
      <c r="G30" s="32">
        <v>7109</v>
      </c>
      <c r="H30" s="32">
        <v>7126</v>
      </c>
      <c r="I30" s="32">
        <v>7188</v>
      </c>
      <c r="J30" s="32">
        <v>7298</v>
      </c>
      <c r="K30" s="32">
        <v>7314</v>
      </c>
      <c r="L30" s="32">
        <v>7312</v>
      </c>
      <c r="M30" s="32">
        <v>7308</v>
      </c>
      <c r="N30" s="32">
        <v>7115</v>
      </c>
      <c r="O30" s="38">
        <f t="shared" si="2"/>
        <v>7.0769230769230765E-2</v>
      </c>
    </row>
    <row r="31" spans="1:15" ht="14" hidden="1" outlineLevel="1" thickBot="1" x14ac:dyDescent="0.2">
      <c r="A31" s="36">
        <v>2005</v>
      </c>
      <c r="B31" s="32">
        <v>7297</v>
      </c>
      <c r="C31" s="32">
        <v>7298</v>
      </c>
      <c r="D31" s="32">
        <v>7309</v>
      </c>
      <c r="E31" s="32">
        <v>7355</v>
      </c>
      <c r="F31" s="32">
        <v>7398</v>
      </c>
      <c r="G31" s="32">
        <v>7415</v>
      </c>
      <c r="H31" s="32">
        <v>7422</v>
      </c>
      <c r="I31" s="32">
        <v>7479</v>
      </c>
      <c r="J31" s="32" t="s">
        <v>56</v>
      </c>
      <c r="K31" s="32">
        <v>7563</v>
      </c>
      <c r="L31" s="32">
        <v>7630</v>
      </c>
      <c r="M31" s="32">
        <v>7647</v>
      </c>
      <c r="N31" s="32">
        <v>7446</v>
      </c>
      <c r="O31" s="38">
        <f t="shared" si="2"/>
        <v>4.7964917089214743E-2</v>
      </c>
    </row>
    <row r="32" spans="1:15" ht="14" hidden="1" outlineLevel="1" thickBot="1" x14ac:dyDescent="0.2">
      <c r="A32" s="36">
        <v>2006</v>
      </c>
      <c r="B32" s="32">
        <v>7660</v>
      </c>
      <c r="C32" s="32">
        <v>7689</v>
      </c>
      <c r="D32" s="32">
        <v>7692</v>
      </c>
      <c r="E32" s="32">
        <v>7695</v>
      </c>
      <c r="F32" s="32">
        <v>7691</v>
      </c>
      <c r="G32" s="32">
        <v>7700</v>
      </c>
      <c r="H32" s="32">
        <v>7721</v>
      </c>
      <c r="I32" s="32">
        <v>7722</v>
      </c>
      <c r="J32" s="32">
        <v>7763</v>
      </c>
      <c r="K32" s="32">
        <v>7883</v>
      </c>
      <c r="L32" s="32">
        <v>7911</v>
      </c>
      <c r="M32" s="32">
        <v>7888</v>
      </c>
      <c r="N32" s="32">
        <v>7751</v>
      </c>
      <c r="O32" s="38">
        <f t="shared" si="2"/>
        <v>2.9765013054830286E-2</v>
      </c>
    </row>
    <row r="33" spans="1:16" ht="14" hidden="1" outlineLevel="1" thickBot="1" x14ac:dyDescent="0.2">
      <c r="A33" s="36">
        <v>2007</v>
      </c>
      <c r="B33" s="32">
        <v>7880</v>
      </c>
      <c r="C33" s="32">
        <v>7880</v>
      </c>
      <c r="D33" s="32">
        <v>7856</v>
      </c>
      <c r="E33" s="32">
        <v>7865</v>
      </c>
      <c r="F33" s="32">
        <v>7942</v>
      </c>
      <c r="G33" s="32">
        <v>7939</v>
      </c>
      <c r="H33" s="32">
        <v>7959</v>
      </c>
      <c r="I33" s="32">
        <v>8007</v>
      </c>
      <c r="J33" s="32">
        <v>8050</v>
      </c>
      <c r="K33" s="32">
        <v>8045</v>
      </c>
      <c r="L33" s="32">
        <v>8092</v>
      </c>
      <c r="M33" s="32">
        <v>8089</v>
      </c>
      <c r="N33" s="32">
        <v>7966</v>
      </c>
      <c r="O33" s="38">
        <f t="shared" si="2"/>
        <v>2.6522842639593907E-2</v>
      </c>
    </row>
    <row r="34" spans="1:16" ht="14" hidden="1" outlineLevel="1" thickBot="1" x14ac:dyDescent="0.2">
      <c r="A34" s="36">
        <v>2008</v>
      </c>
      <c r="B34" s="32">
        <v>8090</v>
      </c>
      <c r="C34" s="32">
        <v>8094</v>
      </c>
      <c r="D34" s="32">
        <v>8109</v>
      </c>
      <c r="E34" s="32">
        <v>8112</v>
      </c>
      <c r="F34" s="32">
        <v>8141</v>
      </c>
      <c r="G34" s="32">
        <v>8185</v>
      </c>
      <c r="H34" s="32">
        <v>8293</v>
      </c>
      <c r="I34" s="32">
        <v>8362</v>
      </c>
      <c r="J34" s="32">
        <v>8557</v>
      </c>
      <c r="K34" s="32">
        <v>8623</v>
      </c>
      <c r="L34" s="32">
        <v>8602</v>
      </c>
      <c r="M34" s="32">
        <v>8551</v>
      </c>
      <c r="N34" s="32">
        <v>8310</v>
      </c>
      <c r="O34" s="38">
        <f t="shared" si="2"/>
        <v>5.6983930778739186E-2</v>
      </c>
    </row>
    <row r="35" spans="1:16" ht="14" hidden="1" outlineLevel="1" thickBot="1" x14ac:dyDescent="0.2">
      <c r="A35" s="34">
        <v>2009</v>
      </c>
      <c r="B35" s="35">
        <v>8549</v>
      </c>
      <c r="C35" s="35">
        <v>8533</v>
      </c>
      <c r="D35" s="35">
        <v>8534</v>
      </c>
      <c r="E35" s="35">
        <v>8528</v>
      </c>
      <c r="F35" s="35">
        <v>8574</v>
      </c>
      <c r="G35" s="35">
        <v>8578</v>
      </c>
      <c r="H35" s="35"/>
      <c r="I35" s="35"/>
      <c r="J35" s="35"/>
      <c r="K35" s="35"/>
      <c r="L35" s="35"/>
      <c r="M35" s="35"/>
      <c r="N35" s="35"/>
      <c r="O35" s="39">
        <f>(G35-B35)/B35</f>
        <v>3.3922096151596678E-3</v>
      </c>
    </row>
    <row r="36" spans="1:16" ht="15" hidden="1" outlineLevel="1" x14ac:dyDescent="0.2">
      <c r="B36" s="29"/>
      <c r="C36" s="31"/>
      <c r="D36" s="31"/>
      <c r="E36" s="31"/>
      <c r="F36" s="31"/>
      <c r="G36" s="30"/>
      <c r="O36" s="37">
        <f>AVERAGE(O26:O34)</f>
        <v>3.5610153616098345E-2</v>
      </c>
      <c r="P36" s="37">
        <f>AVERAGE(O26:O33)</f>
        <v>3.2938431470768234E-2</v>
      </c>
    </row>
    <row r="37" spans="1:16" ht="15" collapsed="1" x14ac:dyDescent="0.2">
      <c r="B37" s="29"/>
      <c r="C37" s="31"/>
      <c r="D37" s="31"/>
      <c r="E37" s="31"/>
      <c r="F37" s="31"/>
      <c r="G37" s="30"/>
    </row>
    <row r="38" spans="1:16" ht="15" x14ac:dyDescent="0.2">
      <c r="A38" s="187" t="s">
        <v>24</v>
      </c>
      <c r="B38" s="188"/>
      <c r="C38" s="189"/>
      <c r="D38" s="189"/>
      <c r="E38" s="189"/>
      <c r="F38" s="189"/>
      <c r="G38" s="190"/>
      <c r="H38" s="191"/>
      <c r="I38" s="191"/>
      <c r="J38" s="191"/>
      <c r="K38" s="191"/>
      <c r="L38" s="191"/>
      <c r="M38" s="191"/>
      <c r="N38" s="192"/>
    </row>
    <row r="39" spans="1:16" x14ac:dyDescent="0.15">
      <c r="A39" s="208" t="s">
        <v>17</v>
      </c>
      <c r="B39" s="208" t="s">
        <v>549</v>
      </c>
      <c r="C39" s="208" t="s">
        <v>550</v>
      </c>
      <c r="D39" s="208" t="s">
        <v>551</v>
      </c>
      <c r="E39" s="208" t="s">
        <v>552</v>
      </c>
      <c r="F39" s="208" t="s">
        <v>553</v>
      </c>
      <c r="G39" s="208" t="s">
        <v>554</v>
      </c>
      <c r="H39" s="208" t="s">
        <v>555</v>
      </c>
      <c r="I39" s="208" t="s">
        <v>556</v>
      </c>
      <c r="J39" s="208" t="s">
        <v>557</v>
      </c>
      <c r="K39" s="208" t="s">
        <v>558</v>
      </c>
      <c r="L39" s="208" t="s">
        <v>559</v>
      </c>
      <c r="M39" s="208" t="s">
        <v>560</v>
      </c>
      <c r="N39" s="208" t="s">
        <v>3</v>
      </c>
    </row>
    <row r="40" spans="1:16" x14ac:dyDescent="0.15">
      <c r="A40" s="204">
        <v>1999</v>
      </c>
      <c r="B40" s="205"/>
      <c r="C40" s="205"/>
      <c r="D40" s="205"/>
      <c r="E40" s="205"/>
      <c r="F40" s="205"/>
      <c r="G40" s="205"/>
      <c r="H40" s="205"/>
      <c r="I40" s="205"/>
      <c r="J40" s="205"/>
      <c r="K40" s="205"/>
      <c r="L40" s="205"/>
      <c r="M40" s="205">
        <v>100</v>
      </c>
      <c r="N40" s="205"/>
    </row>
    <row r="41" spans="1:16" x14ac:dyDescent="0.15">
      <c r="A41" s="204">
        <v>2000</v>
      </c>
      <c r="B41" s="206">
        <v>100.2</v>
      </c>
      <c r="C41" s="206">
        <v>103.7</v>
      </c>
      <c r="D41" s="206">
        <v>108.9</v>
      </c>
      <c r="E41" s="206">
        <v>107.8</v>
      </c>
      <c r="F41" s="206">
        <v>108</v>
      </c>
      <c r="G41" s="206">
        <v>115.3</v>
      </c>
      <c r="H41" s="206">
        <v>115.4</v>
      </c>
      <c r="I41" s="206">
        <v>111.9</v>
      </c>
      <c r="J41" s="206">
        <v>115.9</v>
      </c>
      <c r="K41" s="206">
        <v>114</v>
      </c>
      <c r="L41" s="206">
        <v>113.4</v>
      </c>
      <c r="M41" s="206">
        <v>112.6</v>
      </c>
      <c r="N41" s="206">
        <v>110.6</v>
      </c>
      <c r="O41" s="37">
        <f>(N41-M40)/M40</f>
        <v>0.10599999999999994</v>
      </c>
    </row>
    <row r="42" spans="1:16" x14ac:dyDescent="0.15">
      <c r="A42" s="204">
        <v>2001</v>
      </c>
      <c r="B42" s="205">
        <v>116.8</v>
      </c>
      <c r="C42" s="205">
        <v>116.4</v>
      </c>
      <c r="D42" s="205">
        <v>114.4</v>
      </c>
      <c r="E42" s="205">
        <v>117.5</v>
      </c>
      <c r="F42" s="205">
        <v>123.7</v>
      </c>
      <c r="G42" s="205">
        <v>124.7</v>
      </c>
      <c r="H42" s="205">
        <v>117.4</v>
      </c>
      <c r="I42" s="205">
        <v>114.8</v>
      </c>
      <c r="J42" s="205">
        <v>117.9</v>
      </c>
      <c r="K42" s="205">
        <v>108.7</v>
      </c>
      <c r="L42" s="205">
        <v>102.6</v>
      </c>
      <c r="M42" s="205">
        <v>98.3</v>
      </c>
      <c r="N42" s="205">
        <v>114.4</v>
      </c>
      <c r="O42" s="37">
        <f>(N42-N41)/N41</f>
        <v>3.435804701627497E-2</v>
      </c>
    </row>
    <row r="43" spans="1:16" x14ac:dyDescent="0.15">
      <c r="A43" s="204">
        <v>2002</v>
      </c>
      <c r="B43" s="206">
        <v>98.6</v>
      </c>
      <c r="C43" s="206">
        <v>97.8</v>
      </c>
      <c r="D43" s="206">
        <v>101.9</v>
      </c>
      <c r="E43" s="206">
        <v>107.9</v>
      </c>
      <c r="F43" s="206">
        <v>108.5</v>
      </c>
      <c r="G43" s="206">
        <v>110.4</v>
      </c>
      <c r="H43" s="206">
        <v>110.9</v>
      </c>
      <c r="I43" s="206">
        <v>111.2</v>
      </c>
      <c r="J43" s="206">
        <v>111.4</v>
      </c>
      <c r="K43" s="206">
        <v>110.7</v>
      </c>
      <c r="L43" s="206">
        <v>110.3</v>
      </c>
      <c r="M43" s="206">
        <v>108.6</v>
      </c>
      <c r="N43" s="206">
        <v>107.4</v>
      </c>
      <c r="O43" s="37">
        <f t="shared" ref="O43:O49" si="3">(N43-N42)/N42</f>
        <v>-6.1188811188811185E-2</v>
      </c>
    </row>
    <row r="44" spans="1:16" x14ac:dyDescent="0.15">
      <c r="A44" s="204">
        <v>2003</v>
      </c>
      <c r="B44" s="205">
        <v>112.4</v>
      </c>
      <c r="C44" s="205">
        <v>118.9</v>
      </c>
      <c r="D44" s="205">
        <v>125.4</v>
      </c>
      <c r="E44" s="205">
        <v>121.5</v>
      </c>
      <c r="F44" s="205">
        <v>118.1</v>
      </c>
      <c r="G44" s="205">
        <v>120.6</v>
      </c>
      <c r="H44" s="205">
        <v>120.9</v>
      </c>
      <c r="I44" s="205">
        <v>124.4</v>
      </c>
      <c r="J44" s="205">
        <v>128</v>
      </c>
      <c r="K44" s="205">
        <v>120.9</v>
      </c>
      <c r="L44" s="205">
        <v>117.4</v>
      </c>
      <c r="M44" s="205">
        <v>116.4</v>
      </c>
      <c r="N44" s="205">
        <v>120.4</v>
      </c>
      <c r="O44" s="37">
        <f t="shared" si="3"/>
        <v>0.12104283054003724</v>
      </c>
    </row>
    <row r="45" spans="1:16" x14ac:dyDescent="0.15">
      <c r="A45" s="204">
        <v>2004</v>
      </c>
      <c r="B45" s="206">
        <v>121.3</v>
      </c>
      <c r="C45" s="206">
        <v>123.9</v>
      </c>
      <c r="D45" s="206">
        <v>125.6</v>
      </c>
      <c r="E45" s="206">
        <v>128</v>
      </c>
      <c r="F45" s="206">
        <v>135.1</v>
      </c>
      <c r="G45" s="206">
        <v>140.30000000000001</v>
      </c>
      <c r="H45" s="206">
        <v>137.19999999999999</v>
      </c>
      <c r="I45" s="206">
        <v>136.19999999999999</v>
      </c>
      <c r="J45" s="206">
        <v>135.5</v>
      </c>
      <c r="K45" s="206">
        <v>138.1</v>
      </c>
      <c r="L45" s="206">
        <v>138.5</v>
      </c>
      <c r="M45" s="206">
        <v>134.4</v>
      </c>
      <c r="N45" s="206">
        <v>132.80000000000001</v>
      </c>
      <c r="O45" s="37">
        <f t="shared" si="3"/>
        <v>0.1029900332225914</v>
      </c>
    </row>
    <row r="46" spans="1:16" x14ac:dyDescent="0.15">
      <c r="A46" s="204">
        <v>2005</v>
      </c>
      <c r="B46" s="205">
        <v>132.9</v>
      </c>
      <c r="C46" s="205">
        <v>135.6</v>
      </c>
      <c r="D46" s="205">
        <v>140.19999999999999</v>
      </c>
      <c r="E46" s="205">
        <v>148.69999999999999</v>
      </c>
      <c r="F46" s="205">
        <v>147.4</v>
      </c>
      <c r="G46" s="205">
        <v>149.30000000000001</v>
      </c>
      <c r="H46" s="205">
        <v>155.4</v>
      </c>
      <c r="I46" s="205">
        <v>162.69999999999999</v>
      </c>
      <c r="J46" s="205">
        <v>180</v>
      </c>
      <c r="K46" s="205">
        <v>175.4</v>
      </c>
      <c r="L46" s="205">
        <v>160.80000000000001</v>
      </c>
      <c r="M46" s="205">
        <v>154.5</v>
      </c>
      <c r="N46" s="205">
        <v>153.6</v>
      </c>
      <c r="O46" s="37">
        <f t="shared" si="3"/>
        <v>0.15662650602409625</v>
      </c>
    </row>
    <row r="47" spans="1:16" x14ac:dyDescent="0.15">
      <c r="A47" s="204">
        <v>2006</v>
      </c>
      <c r="B47" s="206">
        <v>162.1</v>
      </c>
      <c r="C47" s="206">
        <v>159.19999999999999</v>
      </c>
      <c r="D47" s="206">
        <v>160.69999999999999</v>
      </c>
      <c r="E47" s="206">
        <v>171.7</v>
      </c>
      <c r="F47" s="206">
        <v>178.6</v>
      </c>
      <c r="G47" s="206">
        <v>180.6</v>
      </c>
      <c r="H47" s="206">
        <v>183.8</v>
      </c>
      <c r="I47" s="206">
        <v>183.6</v>
      </c>
      <c r="J47" s="206">
        <v>170.3</v>
      </c>
      <c r="K47" s="206">
        <v>154.9</v>
      </c>
      <c r="L47" s="206">
        <v>154</v>
      </c>
      <c r="M47" s="206">
        <v>158.1</v>
      </c>
      <c r="N47" s="206">
        <v>168.1</v>
      </c>
      <c r="O47" s="37">
        <f t="shared" si="3"/>
        <v>9.4401041666666671E-2</v>
      </c>
    </row>
    <row r="48" spans="1:16" x14ac:dyDescent="0.15">
      <c r="A48" s="204">
        <v>2007</v>
      </c>
      <c r="B48" s="205">
        <v>156.59399999999999</v>
      </c>
      <c r="C48" s="205">
        <v>157.16399999999999</v>
      </c>
      <c r="D48" s="205">
        <v>167.86799999999999</v>
      </c>
      <c r="E48" s="205">
        <v>176.80600000000001</v>
      </c>
      <c r="F48" s="205">
        <v>186.78399999999999</v>
      </c>
      <c r="G48" s="205">
        <v>188.536</v>
      </c>
      <c r="H48" s="205">
        <v>185.34700000000001</v>
      </c>
      <c r="I48" s="205">
        <v>178.739</v>
      </c>
      <c r="J48" s="205">
        <v>179.114</v>
      </c>
      <c r="K48" s="205">
        <v>177.40299999999999</v>
      </c>
      <c r="L48" s="205">
        <v>187.11500000000001</v>
      </c>
      <c r="M48" s="205">
        <v>185.91200000000001</v>
      </c>
      <c r="N48" s="205">
        <v>177.28200000000001</v>
      </c>
      <c r="O48" s="37">
        <f t="shared" si="3"/>
        <v>5.4622248661511108E-2</v>
      </c>
    </row>
    <row r="49" spans="1:16" ht="26" x14ac:dyDescent="0.15">
      <c r="A49" s="204">
        <v>2008</v>
      </c>
      <c r="B49" s="206" t="s">
        <v>561</v>
      </c>
      <c r="C49" s="206" t="s">
        <v>562</v>
      </c>
      <c r="D49" s="206" t="s">
        <v>563</v>
      </c>
      <c r="E49" s="206" t="s">
        <v>564</v>
      </c>
      <c r="F49" s="206" t="s">
        <v>565</v>
      </c>
      <c r="G49" s="206" t="s">
        <v>566</v>
      </c>
      <c r="H49" s="206" t="s">
        <v>567</v>
      </c>
      <c r="I49" s="206" t="s">
        <v>568</v>
      </c>
      <c r="J49" s="206" t="s">
        <v>569</v>
      </c>
      <c r="K49" s="206" t="s">
        <v>570</v>
      </c>
      <c r="L49" s="206" t="s">
        <v>571</v>
      </c>
      <c r="M49" s="206" t="s">
        <v>572</v>
      </c>
      <c r="N49" s="206">
        <v>201.15700000000001</v>
      </c>
      <c r="O49" s="37">
        <f t="shared" si="3"/>
        <v>0.13467244277478818</v>
      </c>
      <c r="P49" s="13">
        <f>AVERAGE(O41:O49)</f>
        <v>8.2613815413017169E-2</v>
      </c>
    </row>
    <row r="50" spans="1:16" ht="26" x14ac:dyDescent="0.15">
      <c r="A50" s="204">
        <v>2009</v>
      </c>
      <c r="B50" s="205" t="s">
        <v>573</v>
      </c>
      <c r="C50" s="205" t="s">
        <v>574</v>
      </c>
      <c r="D50" s="205" t="s">
        <v>575</v>
      </c>
      <c r="E50" s="205" t="s">
        <v>576</v>
      </c>
      <c r="F50" s="205">
        <v>158.68899999999999</v>
      </c>
      <c r="G50" s="207"/>
      <c r="H50" s="207"/>
      <c r="I50" s="207"/>
      <c r="J50" s="207"/>
      <c r="K50" s="207"/>
      <c r="L50" s="207"/>
      <c r="M50" s="207"/>
      <c r="N50" s="207"/>
      <c r="O50" s="37">
        <f>(F50-N49)/N49</f>
        <v>-0.21111867844519464</v>
      </c>
    </row>
    <row r="51" spans="1:16" ht="15" x14ac:dyDescent="0.2">
      <c r="A51" s="187" t="s">
        <v>577</v>
      </c>
      <c r="B51" s="188"/>
      <c r="C51" s="189"/>
      <c r="D51" s="189"/>
      <c r="E51" s="189"/>
      <c r="F51" s="189"/>
      <c r="G51" s="190"/>
      <c r="H51" s="191"/>
      <c r="I51" s="191"/>
      <c r="J51" s="191"/>
      <c r="K51" s="191"/>
      <c r="L51" s="191"/>
      <c r="M51" s="191"/>
      <c r="N51" s="192"/>
    </row>
    <row r="52" spans="1:16" ht="15" x14ac:dyDescent="0.2">
      <c r="A52" s="193" t="s">
        <v>578</v>
      </c>
      <c r="B52" s="194"/>
      <c r="C52" s="195"/>
      <c r="D52" s="195"/>
      <c r="E52" s="195"/>
      <c r="F52" s="195"/>
      <c r="G52" s="196"/>
      <c r="H52" s="9"/>
      <c r="I52" s="9"/>
      <c r="J52" s="9"/>
      <c r="K52" s="9"/>
      <c r="L52" s="9"/>
      <c r="M52" s="9"/>
      <c r="N52" s="197"/>
    </row>
    <row r="53" spans="1:16" ht="15" x14ac:dyDescent="0.2">
      <c r="A53" s="198" t="s">
        <v>579</v>
      </c>
      <c r="B53" s="199"/>
      <c r="C53" s="200"/>
      <c r="D53" s="200"/>
      <c r="E53" s="200"/>
      <c r="F53" s="200"/>
      <c r="G53" s="201"/>
      <c r="H53" s="202"/>
      <c r="I53" s="202"/>
      <c r="J53" s="202"/>
      <c r="K53" s="202"/>
      <c r="L53" s="202"/>
      <c r="M53" s="202"/>
      <c r="N53" s="203"/>
    </row>
    <row r="54" spans="1:16" ht="15" x14ac:dyDescent="0.2">
      <c r="B54" s="29"/>
      <c r="C54" s="31"/>
      <c r="D54" s="31"/>
      <c r="E54" s="31"/>
      <c r="F54" s="31"/>
      <c r="G54" s="30"/>
    </row>
    <row r="55" spans="1:16" ht="16" outlineLevel="1" x14ac:dyDescent="0.15">
      <c r="A55" s="209" t="s">
        <v>581</v>
      </c>
      <c r="B55" s="191"/>
      <c r="C55" s="191"/>
      <c r="D55" s="191"/>
      <c r="E55" s="191"/>
      <c r="F55" s="191"/>
      <c r="G55" s="191"/>
      <c r="H55" s="191"/>
      <c r="I55" s="191"/>
      <c r="J55" s="191"/>
      <c r="K55" s="191"/>
      <c r="L55" s="191"/>
      <c r="M55" s="191"/>
      <c r="N55" s="192"/>
    </row>
    <row r="56" spans="1:16" ht="16" outlineLevel="1" x14ac:dyDescent="0.15">
      <c r="A56" s="210" t="s">
        <v>582</v>
      </c>
      <c r="B56" s="9"/>
      <c r="C56" s="9"/>
      <c r="D56" s="9"/>
      <c r="E56" s="9"/>
      <c r="F56" s="9"/>
      <c r="G56" s="9"/>
      <c r="H56" s="9"/>
      <c r="I56" s="9"/>
      <c r="J56" s="9"/>
      <c r="K56" s="9"/>
      <c r="L56" s="9"/>
      <c r="M56" s="9"/>
      <c r="N56" s="197"/>
    </row>
    <row r="57" spans="1:16" ht="16" outlineLevel="1" x14ac:dyDescent="0.15">
      <c r="A57" s="211" t="s">
        <v>583</v>
      </c>
      <c r="B57" s="9"/>
      <c r="C57" s="9"/>
      <c r="D57" s="9"/>
      <c r="E57" s="9"/>
      <c r="F57" s="9"/>
      <c r="G57" s="9"/>
      <c r="H57" s="9"/>
      <c r="I57" s="9"/>
      <c r="J57" s="9"/>
      <c r="K57" s="9"/>
      <c r="L57" s="9"/>
      <c r="M57" s="9"/>
      <c r="N57" s="197"/>
    </row>
    <row r="58" spans="1:16" ht="16" outlineLevel="1" x14ac:dyDescent="0.15">
      <c r="A58" s="211" t="s">
        <v>584</v>
      </c>
      <c r="B58" s="9"/>
      <c r="C58" s="9"/>
      <c r="D58" s="9"/>
      <c r="E58" s="9"/>
      <c r="F58" s="9"/>
      <c r="G58" s="9"/>
      <c r="H58" s="9"/>
      <c r="I58" s="9"/>
      <c r="J58" s="9"/>
      <c r="K58" s="9"/>
      <c r="L58" s="9"/>
      <c r="M58" s="9"/>
      <c r="N58" s="197"/>
    </row>
    <row r="59" spans="1:16" ht="16" outlineLevel="1" x14ac:dyDescent="0.15">
      <c r="A59" s="211" t="s">
        <v>585</v>
      </c>
      <c r="B59" s="9"/>
      <c r="C59" s="9"/>
      <c r="D59" s="9"/>
      <c r="E59" s="9"/>
      <c r="F59" s="9"/>
      <c r="G59" s="9"/>
      <c r="H59" s="9"/>
      <c r="I59" s="9"/>
      <c r="J59" s="9"/>
      <c r="K59" s="9"/>
      <c r="L59" s="9"/>
      <c r="M59" s="9"/>
      <c r="N59" s="197"/>
    </row>
    <row r="60" spans="1:16" ht="16" outlineLevel="1" x14ac:dyDescent="0.15">
      <c r="A60" s="1422"/>
      <c r="B60" s="1423"/>
      <c r="C60" s="1423"/>
      <c r="D60" s="1423"/>
      <c r="E60" s="1423"/>
      <c r="F60" s="1423"/>
      <c r="G60" s="1423"/>
      <c r="H60" s="1423"/>
      <c r="I60" s="1423"/>
      <c r="J60" s="1423"/>
      <c r="K60" s="1423"/>
      <c r="L60" s="1423"/>
      <c r="M60" s="1423"/>
      <c r="N60" s="1424"/>
    </row>
    <row r="61" spans="1:16" outlineLevel="1" x14ac:dyDescent="0.15">
      <c r="A61" s="208" t="s">
        <v>17</v>
      </c>
      <c r="B61" s="208" t="s">
        <v>549</v>
      </c>
      <c r="C61" s="208" t="s">
        <v>550</v>
      </c>
      <c r="D61" s="208" t="s">
        <v>551</v>
      </c>
      <c r="E61" s="208" t="s">
        <v>552</v>
      </c>
      <c r="F61" s="208" t="s">
        <v>553</v>
      </c>
      <c r="G61" s="208" t="s">
        <v>554</v>
      </c>
      <c r="H61" s="208" t="s">
        <v>555</v>
      </c>
      <c r="I61" s="208" t="s">
        <v>556</v>
      </c>
      <c r="J61" s="208" t="s">
        <v>557</v>
      </c>
      <c r="K61" s="208" t="s">
        <v>558</v>
      </c>
      <c r="L61" s="208" t="s">
        <v>559</v>
      </c>
      <c r="M61" s="208" t="s">
        <v>560</v>
      </c>
      <c r="N61" s="208" t="s">
        <v>3</v>
      </c>
    </row>
    <row r="62" spans="1:16" outlineLevel="1" x14ac:dyDescent="0.15">
      <c r="A62" s="204">
        <v>1999</v>
      </c>
      <c r="B62" s="205"/>
      <c r="C62" s="205"/>
      <c r="D62" s="205"/>
      <c r="E62" s="205"/>
      <c r="F62" s="205"/>
      <c r="G62" s="205"/>
      <c r="H62" s="205"/>
      <c r="I62" s="205"/>
      <c r="J62" s="205"/>
      <c r="K62" s="205"/>
      <c r="L62" s="205"/>
      <c r="M62" s="205">
        <v>100</v>
      </c>
      <c r="N62" s="205"/>
    </row>
    <row r="63" spans="1:16" outlineLevel="1" x14ac:dyDescent="0.15">
      <c r="A63" s="204">
        <v>2000</v>
      </c>
      <c r="B63" s="206">
        <v>100.2</v>
      </c>
      <c r="C63" s="206">
        <v>99.5</v>
      </c>
      <c r="D63" s="206">
        <v>99</v>
      </c>
      <c r="E63" s="206">
        <v>98.6</v>
      </c>
      <c r="F63" s="206">
        <v>98.4</v>
      </c>
      <c r="G63" s="206">
        <v>97.5</v>
      </c>
      <c r="H63" s="206">
        <v>97.7</v>
      </c>
      <c r="I63" s="206">
        <v>98</v>
      </c>
      <c r="J63" s="206">
        <v>98.3</v>
      </c>
      <c r="K63" s="206">
        <v>98.7</v>
      </c>
      <c r="L63" s="206">
        <v>98</v>
      </c>
      <c r="M63" s="206">
        <v>98</v>
      </c>
      <c r="N63" s="206">
        <v>98.5</v>
      </c>
      <c r="O63" s="37">
        <f>(N63-M62)/M62</f>
        <v>-1.4999999999999999E-2</v>
      </c>
    </row>
    <row r="64" spans="1:16" outlineLevel="1" x14ac:dyDescent="0.15">
      <c r="A64" s="204">
        <v>2001</v>
      </c>
      <c r="B64" s="205">
        <v>97.6</v>
      </c>
      <c r="C64" s="205">
        <v>97.4</v>
      </c>
      <c r="D64" s="205">
        <v>97.4</v>
      </c>
      <c r="E64" s="205">
        <v>97</v>
      </c>
      <c r="F64" s="205">
        <v>96.7</v>
      </c>
      <c r="G64" s="205">
        <v>96.7</v>
      </c>
      <c r="H64" s="205">
        <v>97</v>
      </c>
      <c r="I64" s="205">
        <v>97.7</v>
      </c>
      <c r="J64" s="205">
        <v>98.3</v>
      </c>
      <c r="K64" s="205">
        <v>98.5</v>
      </c>
      <c r="L64" s="205">
        <v>98.3</v>
      </c>
      <c r="M64" s="205">
        <v>97.9</v>
      </c>
      <c r="N64" s="205">
        <v>97.5</v>
      </c>
      <c r="O64" s="37">
        <f>(N64-N63)/N63</f>
        <v>-1.015228426395939E-2</v>
      </c>
    </row>
    <row r="65" spans="1:16" outlineLevel="1" x14ac:dyDescent="0.15">
      <c r="A65" s="204">
        <v>2002</v>
      </c>
      <c r="B65" s="206">
        <v>97.9</v>
      </c>
      <c r="C65" s="206">
        <v>98</v>
      </c>
      <c r="D65" s="206">
        <v>97.4</v>
      </c>
      <c r="E65" s="206">
        <v>96.9</v>
      </c>
      <c r="F65" s="206">
        <v>97</v>
      </c>
      <c r="G65" s="206">
        <v>97.3</v>
      </c>
      <c r="H65" s="206">
        <v>97.9</v>
      </c>
      <c r="I65" s="206">
        <v>99.3</v>
      </c>
      <c r="J65" s="206">
        <v>100</v>
      </c>
      <c r="K65" s="206">
        <v>99.9</v>
      </c>
      <c r="L65" s="206">
        <v>99.6</v>
      </c>
      <c r="M65" s="206">
        <v>99.5</v>
      </c>
      <c r="N65" s="206">
        <v>98.4</v>
      </c>
      <c r="O65" s="37">
        <f t="shared" ref="O65:O71" si="4">(N65-N64)/N64</f>
        <v>9.2307692307692889E-3</v>
      </c>
    </row>
    <row r="66" spans="1:16" outlineLevel="1" x14ac:dyDescent="0.15">
      <c r="A66" s="204">
        <v>2003</v>
      </c>
      <c r="B66" s="205">
        <v>99.8</v>
      </c>
      <c r="C66" s="205">
        <v>99.9</v>
      </c>
      <c r="D66" s="205">
        <v>99.5</v>
      </c>
      <c r="E66" s="205">
        <v>99</v>
      </c>
      <c r="F66" s="205">
        <v>98.5</v>
      </c>
      <c r="G66" s="205">
        <v>97.9</v>
      </c>
      <c r="H66" s="205">
        <v>98.1</v>
      </c>
      <c r="I66" s="205">
        <v>99.4</v>
      </c>
      <c r="J66" s="205">
        <v>100.2</v>
      </c>
      <c r="K66" s="205">
        <v>100</v>
      </c>
      <c r="L66" s="205">
        <v>99.8</v>
      </c>
      <c r="M66" s="205">
        <v>99.9</v>
      </c>
      <c r="N66" s="205">
        <v>99.3</v>
      </c>
      <c r="O66" s="37">
        <f t="shared" si="4"/>
        <v>9.1463414634145469E-3</v>
      </c>
    </row>
    <row r="67" spans="1:16" outlineLevel="1" x14ac:dyDescent="0.15">
      <c r="A67" s="204">
        <v>2004</v>
      </c>
      <c r="B67" s="206">
        <v>100.2</v>
      </c>
      <c r="C67" s="206">
        <v>100.3</v>
      </c>
      <c r="D67" s="206">
        <v>100.1</v>
      </c>
      <c r="E67" s="206">
        <v>99.7</v>
      </c>
      <c r="F67" s="206">
        <v>99.4</v>
      </c>
      <c r="G67" s="206">
        <v>99.6</v>
      </c>
      <c r="H67" s="206">
        <v>99.5</v>
      </c>
      <c r="I67" s="206">
        <v>100.6</v>
      </c>
      <c r="J67" s="206">
        <v>101.8</v>
      </c>
      <c r="K67" s="206">
        <v>101.3</v>
      </c>
      <c r="L67" s="206">
        <v>101.4</v>
      </c>
      <c r="M67" s="206">
        <v>101.2</v>
      </c>
      <c r="N67" s="206">
        <v>100.4</v>
      </c>
      <c r="O67" s="37">
        <f t="shared" si="4"/>
        <v>1.1077542799597266E-2</v>
      </c>
    </row>
    <row r="68" spans="1:16" outlineLevel="1" x14ac:dyDescent="0.15">
      <c r="A68" s="204">
        <v>2005</v>
      </c>
      <c r="B68" s="205">
        <v>101.2</v>
      </c>
      <c r="C68" s="205">
        <v>101.2</v>
      </c>
      <c r="D68" s="205">
        <v>101.2</v>
      </c>
      <c r="E68" s="205">
        <v>101.3</v>
      </c>
      <c r="F68" s="205">
        <v>101</v>
      </c>
      <c r="G68" s="205">
        <v>100.9</v>
      </c>
      <c r="H68" s="205">
        <v>100.9</v>
      </c>
      <c r="I68" s="205">
        <v>101.7</v>
      </c>
      <c r="J68" s="205">
        <v>103.3</v>
      </c>
      <c r="K68" s="205">
        <v>103.1</v>
      </c>
      <c r="L68" s="205">
        <v>103.1</v>
      </c>
      <c r="M68" s="205">
        <v>103</v>
      </c>
      <c r="N68" s="205">
        <v>101.8</v>
      </c>
      <c r="O68" s="37">
        <f t="shared" si="4"/>
        <v>1.3944223107569636E-2</v>
      </c>
    </row>
    <row r="69" spans="1:16" outlineLevel="1" x14ac:dyDescent="0.15">
      <c r="A69" s="204">
        <v>2006</v>
      </c>
      <c r="B69" s="206">
        <v>103.2</v>
      </c>
      <c r="C69" s="206">
        <v>103.2</v>
      </c>
      <c r="D69" s="206">
        <v>103.2</v>
      </c>
      <c r="E69" s="206">
        <v>103.3</v>
      </c>
      <c r="F69" s="206">
        <v>103.1</v>
      </c>
      <c r="G69" s="206">
        <v>103.3</v>
      </c>
      <c r="H69" s="206">
        <v>103.5</v>
      </c>
      <c r="I69" s="206">
        <v>104.5</v>
      </c>
      <c r="J69" s="206">
        <v>105.4</v>
      </c>
      <c r="K69" s="206">
        <v>105.1</v>
      </c>
      <c r="L69" s="206">
        <v>104.5</v>
      </c>
      <c r="M69" s="206">
        <v>104.2</v>
      </c>
      <c r="N69" s="206">
        <v>103.9</v>
      </c>
      <c r="O69" s="37">
        <f t="shared" si="4"/>
        <v>2.0628683693516784E-2</v>
      </c>
    </row>
    <row r="70" spans="1:16" outlineLevel="1" x14ac:dyDescent="0.15">
      <c r="A70" s="204">
        <v>2007</v>
      </c>
      <c r="B70" s="205">
        <v>103.983</v>
      </c>
      <c r="C70" s="205">
        <v>104.081</v>
      </c>
      <c r="D70" s="205">
        <v>104.22199999999999</v>
      </c>
      <c r="E70" s="205">
        <v>104.34399999999999</v>
      </c>
      <c r="F70" s="205">
        <v>104.58199999999999</v>
      </c>
      <c r="G70" s="205">
        <v>104.343</v>
      </c>
      <c r="H70" s="205">
        <v>104.43300000000001</v>
      </c>
      <c r="I70" s="205">
        <v>105.636</v>
      </c>
      <c r="J70" s="205">
        <v>106.47799999999999</v>
      </c>
      <c r="K70" s="205">
        <v>106.509</v>
      </c>
      <c r="L70" s="205">
        <v>106.114</v>
      </c>
      <c r="M70" s="205">
        <v>106.20699999999999</v>
      </c>
      <c r="N70" s="205">
        <v>105.078</v>
      </c>
      <c r="O70" s="37">
        <f t="shared" si="4"/>
        <v>1.1337824831568789E-2</v>
      </c>
    </row>
    <row r="71" spans="1:16" ht="26" outlineLevel="1" x14ac:dyDescent="0.15">
      <c r="A71" s="204">
        <v>2008</v>
      </c>
      <c r="B71" s="206" t="s">
        <v>586</v>
      </c>
      <c r="C71" s="206" t="s">
        <v>587</v>
      </c>
      <c r="D71" s="206" t="s">
        <v>588</v>
      </c>
      <c r="E71" s="206" t="s">
        <v>589</v>
      </c>
      <c r="F71" s="206" t="s">
        <v>590</v>
      </c>
      <c r="G71" s="206" t="s">
        <v>591</v>
      </c>
      <c r="H71" s="206" t="s">
        <v>592</v>
      </c>
      <c r="I71" s="206" t="s">
        <v>593</v>
      </c>
      <c r="J71" s="206" t="s">
        <v>594</v>
      </c>
      <c r="K71" s="206" t="s">
        <v>595</v>
      </c>
      <c r="L71" s="206" t="s">
        <v>596</v>
      </c>
      <c r="M71" s="206" t="s">
        <v>597</v>
      </c>
      <c r="N71" s="206">
        <v>107.79900000000001</v>
      </c>
      <c r="O71" s="37">
        <f t="shared" si="4"/>
        <v>2.5895049391880351E-2</v>
      </c>
      <c r="P71" s="13">
        <f>AVERAGE(O63:O71)</f>
        <v>8.4564611393730307E-3</v>
      </c>
    </row>
    <row r="72" spans="1:16" ht="26" outlineLevel="1" x14ac:dyDescent="0.15">
      <c r="A72" s="204">
        <v>2009</v>
      </c>
      <c r="B72" s="205" t="s">
        <v>598</v>
      </c>
      <c r="C72" s="205" t="s">
        <v>599</v>
      </c>
      <c r="D72" s="205" t="s">
        <v>600</v>
      </c>
      <c r="E72" s="205" t="s">
        <v>601</v>
      </c>
      <c r="F72" s="205">
        <v>109.795</v>
      </c>
      <c r="G72" s="205"/>
      <c r="H72" s="205"/>
      <c r="I72" s="205"/>
      <c r="J72" s="205"/>
      <c r="K72" s="205"/>
      <c r="L72" s="205"/>
      <c r="M72" s="205"/>
      <c r="N72" s="205"/>
      <c r="O72" s="37">
        <f>(F72-N71)/N71</f>
        <v>1.8515941706323761E-2</v>
      </c>
    </row>
    <row r="73" spans="1:16" ht="12.75" customHeight="1" outlineLevel="1" x14ac:dyDescent="0.15">
      <c r="A73" s="1425" t="s">
        <v>578</v>
      </c>
      <c r="B73" s="1425"/>
      <c r="C73" s="1425"/>
      <c r="D73" s="1425"/>
      <c r="E73" s="1425"/>
      <c r="F73" s="1425"/>
      <c r="G73" s="1425"/>
      <c r="H73" s="1425"/>
      <c r="I73" s="1425"/>
      <c r="J73" s="1425"/>
      <c r="K73" s="1425"/>
      <c r="L73" s="1425"/>
      <c r="M73" s="1425"/>
      <c r="N73" s="1425"/>
    </row>
    <row r="74" spans="1:16" ht="12.75" customHeight="1" outlineLevel="1" x14ac:dyDescent="0.15">
      <c r="A74" s="1425" t="s">
        <v>579</v>
      </c>
      <c r="B74" s="1425"/>
      <c r="C74" s="1425"/>
      <c r="D74" s="1425"/>
      <c r="E74" s="1425"/>
      <c r="F74" s="1425"/>
      <c r="G74" s="1425"/>
      <c r="H74" s="1425"/>
      <c r="I74" s="1425"/>
      <c r="J74" s="1425"/>
      <c r="K74" s="1425"/>
      <c r="L74" s="1425"/>
      <c r="M74" s="1425"/>
      <c r="N74" s="1425"/>
    </row>
    <row r="75" spans="1:16" ht="15" outlineLevel="1" x14ac:dyDescent="0.2">
      <c r="A75" t="s">
        <v>602</v>
      </c>
      <c r="B75" s="29"/>
      <c r="C75" s="31"/>
      <c r="D75" s="31"/>
      <c r="E75" s="31"/>
      <c r="F75" s="31"/>
      <c r="G75" s="30"/>
    </row>
    <row r="76" spans="1:16" ht="15" x14ac:dyDescent="0.2">
      <c r="B76" s="29"/>
      <c r="C76" s="31"/>
      <c r="D76" s="31"/>
      <c r="E76" s="31"/>
      <c r="F76" s="31"/>
      <c r="G76" s="30"/>
    </row>
    <row r="77" spans="1:16" ht="15" x14ac:dyDescent="0.2">
      <c r="B77" s="29"/>
      <c r="C77" s="31"/>
      <c r="D77" s="31"/>
      <c r="E77" s="31"/>
      <c r="F77" s="31"/>
      <c r="G77" s="30"/>
    </row>
    <row r="78" spans="1:16" ht="15" x14ac:dyDescent="0.2">
      <c r="B78" s="29"/>
      <c r="C78" s="31"/>
      <c r="D78" s="31"/>
      <c r="E78" s="31"/>
      <c r="F78" s="31"/>
      <c r="G78" s="30"/>
    </row>
    <row r="79" spans="1:16" ht="15" x14ac:dyDescent="0.2">
      <c r="B79" s="29"/>
      <c r="C79" s="31"/>
      <c r="D79" s="31"/>
      <c r="E79" s="31"/>
      <c r="F79" s="31"/>
      <c r="G79" s="30"/>
    </row>
    <row r="80" spans="1:16" ht="15" x14ac:dyDescent="0.2">
      <c r="B80" s="29"/>
      <c r="C80" s="31"/>
      <c r="D80" s="31"/>
      <c r="E80" s="31"/>
      <c r="F80" s="31"/>
      <c r="G80" s="30"/>
    </row>
    <row r="81" spans="2:7" ht="15" x14ac:dyDescent="0.2">
      <c r="B81" s="29"/>
      <c r="C81" s="31"/>
      <c r="D81" s="31"/>
      <c r="E81" s="31"/>
      <c r="F81" s="31"/>
      <c r="G81" s="30"/>
    </row>
    <row r="82" spans="2:7" ht="15" x14ac:dyDescent="0.2">
      <c r="B82" s="29"/>
      <c r="C82" s="31"/>
      <c r="D82" s="31"/>
      <c r="E82" s="31"/>
      <c r="F82" s="31"/>
      <c r="G82" s="30"/>
    </row>
    <row r="83" spans="2:7" ht="15" x14ac:dyDescent="0.2">
      <c r="B83" s="29"/>
      <c r="C83" s="31"/>
      <c r="D83" s="31"/>
      <c r="E83" s="31"/>
      <c r="F83" s="31"/>
      <c r="G83" s="30"/>
    </row>
    <row r="84" spans="2:7" ht="15" x14ac:dyDescent="0.2">
      <c r="B84" s="29"/>
      <c r="C84" s="31"/>
      <c r="D84" s="31"/>
      <c r="E84" s="31"/>
      <c r="F84" s="31"/>
      <c r="G84" s="30"/>
    </row>
    <row r="85" spans="2:7" ht="15" x14ac:dyDescent="0.2">
      <c r="B85" s="29"/>
      <c r="C85" s="31"/>
      <c r="D85" s="31"/>
      <c r="E85" s="31"/>
      <c r="F85" s="31"/>
      <c r="G85" s="30"/>
    </row>
    <row r="86" spans="2:7" ht="15" x14ac:dyDescent="0.2">
      <c r="B86" s="29"/>
      <c r="C86" s="31"/>
      <c r="D86" s="31"/>
      <c r="E86" s="31"/>
      <c r="F86" s="31"/>
      <c r="G86" s="30"/>
    </row>
    <row r="87" spans="2:7" ht="15" x14ac:dyDescent="0.2">
      <c r="B87" s="29"/>
      <c r="C87" s="31"/>
      <c r="D87" s="31"/>
      <c r="E87" s="31"/>
      <c r="F87" s="31"/>
      <c r="G87" s="30"/>
    </row>
    <row r="88" spans="2:7" ht="15" x14ac:dyDescent="0.2">
      <c r="B88" s="29"/>
      <c r="C88" s="31"/>
      <c r="D88" s="31"/>
      <c r="E88" s="31"/>
      <c r="F88" s="31"/>
      <c r="G88" s="30"/>
    </row>
    <row r="89" spans="2:7" ht="15" x14ac:dyDescent="0.2">
      <c r="B89" s="29"/>
      <c r="C89" s="31"/>
      <c r="D89" s="31"/>
      <c r="E89" s="31"/>
      <c r="F89" s="31"/>
      <c r="G89" s="30"/>
    </row>
    <row r="90" spans="2:7" ht="15" x14ac:dyDescent="0.2">
      <c r="B90" s="29"/>
      <c r="C90" s="31"/>
      <c r="D90" s="31"/>
      <c r="E90" s="31"/>
      <c r="F90" s="31"/>
      <c r="G90" s="30"/>
    </row>
    <row r="91" spans="2:7" ht="15" x14ac:dyDescent="0.2">
      <c r="B91" s="29"/>
      <c r="C91" s="31"/>
      <c r="D91" s="31"/>
      <c r="E91" s="31"/>
      <c r="F91" s="31"/>
      <c r="G91" s="30"/>
    </row>
    <row r="92" spans="2:7" ht="15" x14ac:dyDescent="0.2">
      <c r="B92" s="29"/>
      <c r="C92" s="31"/>
      <c r="D92" s="31"/>
      <c r="E92" s="31"/>
      <c r="F92" s="31"/>
      <c r="G92" s="30"/>
    </row>
    <row r="93" spans="2:7" ht="15" x14ac:dyDescent="0.2">
      <c r="B93" s="29"/>
      <c r="C93" s="31"/>
      <c r="D93" s="31"/>
      <c r="E93" s="31"/>
      <c r="F93" s="31"/>
      <c r="G93" s="30"/>
    </row>
    <row r="94" spans="2:7" ht="15" x14ac:dyDescent="0.2">
      <c r="B94" s="29"/>
      <c r="C94" s="31"/>
      <c r="D94" s="31"/>
      <c r="E94" s="31"/>
      <c r="F94" s="31"/>
      <c r="G94" s="30"/>
    </row>
    <row r="95" spans="2:7" ht="15" x14ac:dyDescent="0.2">
      <c r="B95" s="29"/>
      <c r="C95" s="31"/>
      <c r="D95" s="31"/>
      <c r="E95" s="31"/>
      <c r="F95" s="31"/>
      <c r="G95" s="30"/>
    </row>
    <row r="96" spans="2:7" ht="15" x14ac:dyDescent="0.2">
      <c r="B96" s="29"/>
      <c r="C96" s="31"/>
      <c r="D96" s="31"/>
      <c r="E96" s="31"/>
      <c r="F96" s="31"/>
      <c r="G96" s="30"/>
    </row>
    <row r="97" spans="2:7" ht="15" x14ac:dyDescent="0.2">
      <c r="B97" s="29"/>
      <c r="C97" s="31"/>
      <c r="D97" s="31"/>
      <c r="E97" s="31"/>
      <c r="F97" s="31"/>
      <c r="G97" s="30"/>
    </row>
    <row r="98" spans="2:7" ht="15" x14ac:dyDescent="0.2">
      <c r="B98" s="29"/>
      <c r="C98" s="31"/>
      <c r="D98" s="31"/>
      <c r="E98" s="31"/>
      <c r="F98" s="31"/>
      <c r="G98" s="30"/>
    </row>
    <row r="99" spans="2:7" ht="15" x14ac:dyDescent="0.2">
      <c r="B99" s="29"/>
      <c r="C99" s="31"/>
      <c r="D99" s="31"/>
      <c r="E99" s="31"/>
      <c r="F99" s="31"/>
      <c r="G99" s="30"/>
    </row>
    <row r="100" spans="2:7" ht="15" x14ac:dyDescent="0.2">
      <c r="B100" s="29"/>
      <c r="C100" s="31"/>
      <c r="D100" s="31"/>
      <c r="E100" s="31"/>
      <c r="F100" s="31"/>
      <c r="G100" s="30"/>
    </row>
    <row r="101" spans="2:7" ht="15" x14ac:dyDescent="0.2">
      <c r="B101" s="29"/>
      <c r="C101" s="31"/>
      <c r="D101" s="31"/>
      <c r="E101" s="31"/>
      <c r="F101" s="31"/>
      <c r="G101" s="30"/>
    </row>
    <row r="102" spans="2:7" ht="15" x14ac:dyDescent="0.2">
      <c r="B102" s="29"/>
      <c r="C102" s="31"/>
      <c r="D102" s="31"/>
      <c r="E102" s="31"/>
      <c r="F102" s="31"/>
      <c r="G102" s="30"/>
    </row>
    <row r="103" spans="2:7" ht="15" x14ac:dyDescent="0.2">
      <c r="B103" s="29"/>
      <c r="C103" s="31"/>
      <c r="D103" s="31"/>
      <c r="E103" s="31"/>
      <c r="F103" s="31"/>
      <c r="G103" s="30"/>
    </row>
    <row r="104" spans="2:7" ht="15" x14ac:dyDescent="0.2">
      <c r="B104" s="29"/>
      <c r="C104" s="31"/>
      <c r="D104" s="31"/>
      <c r="E104" s="31"/>
      <c r="F104" s="31"/>
      <c r="G104" s="30"/>
    </row>
    <row r="105" spans="2:7" ht="15" x14ac:dyDescent="0.2">
      <c r="B105" s="29"/>
      <c r="C105" s="31"/>
      <c r="D105" s="31"/>
      <c r="E105" s="31"/>
      <c r="F105" s="31"/>
      <c r="G105" s="30"/>
    </row>
    <row r="106" spans="2:7" ht="15" x14ac:dyDescent="0.2">
      <c r="B106" s="29"/>
      <c r="C106" s="31"/>
      <c r="D106" s="31"/>
      <c r="E106" s="31"/>
      <c r="F106" s="31"/>
      <c r="G106" s="30"/>
    </row>
    <row r="107" spans="2:7" ht="15" x14ac:dyDescent="0.2">
      <c r="B107" s="29"/>
      <c r="C107" s="31"/>
      <c r="D107" s="31"/>
      <c r="E107" s="31"/>
      <c r="F107" s="31"/>
      <c r="G107" s="30"/>
    </row>
    <row r="108" spans="2:7" ht="15" x14ac:dyDescent="0.2">
      <c r="B108" s="29"/>
      <c r="C108" s="31"/>
      <c r="D108" s="31"/>
      <c r="E108" s="31"/>
      <c r="F108" s="31"/>
      <c r="G108" s="30"/>
    </row>
    <row r="109" spans="2:7" ht="15" x14ac:dyDescent="0.2">
      <c r="B109" s="29"/>
      <c r="C109" s="31"/>
      <c r="D109" s="31"/>
      <c r="E109" s="31"/>
      <c r="F109" s="31"/>
      <c r="G109" s="30"/>
    </row>
    <row r="110" spans="2:7" ht="15" x14ac:dyDescent="0.2">
      <c r="B110" s="29"/>
      <c r="C110" s="31"/>
      <c r="D110" s="31"/>
      <c r="E110" s="31"/>
      <c r="F110" s="31"/>
      <c r="G110" s="30"/>
    </row>
    <row r="111" spans="2:7" ht="15" x14ac:dyDescent="0.2">
      <c r="B111" s="29"/>
      <c r="C111" s="31"/>
      <c r="D111" s="31"/>
      <c r="E111" s="31"/>
      <c r="F111" s="31"/>
      <c r="G111" s="30"/>
    </row>
    <row r="112" spans="2:7" ht="15" x14ac:dyDescent="0.2">
      <c r="B112" s="29"/>
      <c r="C112" s="31"/>
      <c r="D112" s="31"/>
      <c r="E112" s="31"/>
      <c r="F112" s="31"/>
      <c r="G112" s="30"/>
    </row>
    <row r="113" spans="2:7" ht="15" x14ac:dyDescent="0.2">
      <c r="B113" s="29"/>
      <c r="C113" s="31"/>
      <c r="D113" s="31"/>
      <c r="E113" s="31"/>
      <c r="F113" s="31"/>
      <c r="G113" s="30"/>
    </row>
    <row r="114" spans="2:7" ht="15" x14ac:dyDescent="0.2">
      <c r="B114" s="29"/>
      <c r="C114" s="31"/>
      <c r="D114" s="31"/>
      <c r="E114" s="31"/>
      <c r="F114" s="31"/>
      <c r="G114" s="30"/>
    </row>
    <row r="115" spans="2:7" ht="15" x14ac:dyDescent="0.2">
      <c r="B115" s="29"/>
      <c r="C115" s="31"/>
      <c r="D115" s="31"/>
      <c r="E115" s="31"/>
      <c r="F115" s="31"/>
      <c r="G115" s="30"/>
    </row>
    <row r="116" spans="2:7" ht="15" x14ac:dyDescent="0.2">
      <c r="B116" s="29"/>
      <c r="C116" s="31"/>
      <c r="D116" s="31"/>
      <c r="E116" s="31"/>
      <c r="F116" s="31"/>
      <c r="G116" s="30"/>
    </row>
    <row r="117" spans="2:7" ht="15" x14ac:dyDescent="0.2">
      <c r="B117" s="29"/>
      <c r="C117" s="31"/>
      <c r="D117" s="31"/>
      <c r="E117" s="31"/>
      <c r="F117" s="31"/>
      <c r="G117" s="30"/>
    </row>
    <row r="118" spans="2:7" ht="15" x14ac:dyDescent="0.2">
      <c r="B118" s="29"/>
      <c r="C118" s="31"/>
      <c r="D118" s="31"/>
      <c r="E118" s="31"/>
      <c r="F118" s="31"/>
      <c r="G118" s="30"/>
    </row>
    <row r="119" spans="2:7" ht="15" x14ac:dyDescent="0.2">
      <c r="B119" s="29"/>
      <c r="C119" s="31"/>
      <c r="D119" s="31"/>
      <c r="E119" s="31"/>
      <c r="F119" s="31"/>
      <c r="G119" s="30"/>
    </row>
    <row r="120" spans="2:7" ht="15" x14ac:dyDescent="0.2">
      <c r="B120" s="29"/>
      <c r="C120" s="31"/>
      <c r="D120" s="31"/>
      <c r="E120" s="31"/>
      <c r="F120" s="31"/>
      <c r="G120" s="30"/>
    </row>
    <row r="121" spans="2:7" ht="15" x14ac:dyDescent="0.2">
      <c r="B121" s="29"/>
      <c r="C121" s="31"/>
      <c r="D121" s="31"/>
      <c r="E121" s="31"/>
      <c r="F121" s="31"/>
      <c r="G121" s="30"/>
    </row>
    <row r="122" spans="2:7" ht="15" x14ac:dyDescent="0.2">
      <c r="B122" s="29"/>
      <c r="C122" s="31"/>
      <c r="D122" s="31"/>
      <c r="E122" s="31"/>
      <c r="F122" s="31"/>
      <c r="G122" s="30"/>
    </row>
    <row r="123" spans="2:7" ht="15" x14ac:dyDescent="0.2">
      <c r="B123" s="29"/>
      <c r="C123" s="31"/>
      <c r="D123" s="31"/>
      <c r="E123" s="31"/>
      <c r="F123" s="31"/>
      <c r="G123" s="30"/>
    </row>
    <row r="124" spans="2:7" ht="15" x14ac:dyDescent="0.2">
      <c r="B124" s="29"/>
      <c r="C124" s="31"/>
      <c r="D124" s="31"/>
      <c r="E124" s="31"/>
      <c r="F124" s="31"/>
      <c r="G124" s="30"/>
    </row>
    <row r="125" spans="2:7" ht="15" x14ac:dyDescent="0.2">
      <c r="B125" s="29"/>
      <c r="C125" s="31"/>
      <c r="D125" s="31"/>
      <c r="E125" s="31"/>
      <c r="F125" s="31"/>
      <c r="G125" s="30"/>
    </row>
    <row r="126" spans="2:7" ht="15" x14ac:dyDescent="0.2">
      <c r="B126" s="29"/>
      <c r="C126" s="31"/>
      <c r="D126" s="31"/>
      <c r="E126" s="31"/>
      <c r="F126" s="31"/>
      <c r="G126" s="30"/>
    </row>
    <row r="127" spans="2:7" ht="15" x14ac:dyDescent="0.2">
      <c r="B127" s="29"/>
      <c r="C127" s="31"/>
      <c r="D127" s="31"/>
      <c r="E127" s="31"/>
      <c r="F127" s="31"/>
      <c r="G127" s="30"/>
    </row>
    <row r="128" spans="2:7" ht="15" x14ac:dyDescent="0.2">
      <c r="B128" s="29"/>
      <c r="C128" s="31"/>
      <c r="D128" s="31"/>
      <c r="E128" s="31"/>
      <c r="F128" s="31"/>
      <c r="G128" s="30"/>
    </row>
    <row r="129" spans="2:7" ht="15" x14ac:dyDescent="0.2">
      <c r="B129" s="29"/>
      <c r="C129" s="31"/>
      <c r="D129" s="31"/>
      <c r="E129" s="31"/>
      <c r="F129" s="31"/>
      <c r="G129" s="30"/>
    </row>
    <row r="130" spans="2:7" ht="15" x14ac:dyDescent="0.2">
      <c r="B130" s="29"/>
      <c r="C130" s="31"/>
      <c r="D130" s="31"/>
      <c r="E130" s="31"/>
      <c r="F130" s="31"/>
      <c r="G130" s="30"/>
    </row>
    <row r="131" spans="2:7" ht="15" x14ac:dyDescent="0.2">
      <c r="B131" s="29"/>
      <c r="C131" s="31"/>
      <c r="D131" s="31"/>
      <c r="E131" s="31"/>
      <c r="F131" s="31"/>
      <c r="G131" s="30"/>
    </row>
    <row r="132" spans="2:7" ht="15" x14ac:dyDescent="0.2">
      <c r="B132" s="29"/>
      <c r="C132" s="31"/>
      <c r="D132" s="31"/>
      <c r="E132" s="31"/>
      <c r="F132" s="31"/>
      <c r="G132" s="30"/>
    </row>
    <row r="133" spans="2:7" ht="15" x14ac:dyDescent="0.2">
      <c r="B133" s="29"/>
      <c r="C133" s="31"/>
      <c r="D133" s="31"/>
      <c r="E133" s="31"/>
      <c r="F133" s="31"/>
      <c r="G133" s="30"/>
    </row>
    <row r="134" spans="2:7" ht="15" x14ac:dyDescent="0.2">
      <c r="B134" s="29"/>
      <c r="C134" s="31"/>
      <c r="D134" s="31"/>
      <c r="E134" s="31"/>
      <c r="F134" s="31"/>
      <c r="G134" s="30"/>
    </row>
    <row r="135" spans="2:7" ht="15" x14ac:dyDescent="0.2">
      <c r="B135" s="29"/>
      <c r="C135" s="31"/>
      <c r="D135" s="31"/>
      <c r="E135" s="31"/>
      <c r="F135" s="31"/>
      <c r="G135" s="30"/>
    </row>
    <row r="136" spans="2:7" ht="15" x14ac:dyDescent="0.2">
      <c r="B136" s="29"/>
      <c r="C136" s="31"/>
      <c r="D136" s="31"/>
      <c r="E136" s="31"/>
      <c r="F136" s="31"/>
      <c r="G136" s="30"/>
    </row>
    <row r="137" spans="2:7" ht="15" x14ac:dyDescent="0.2">
      <c r="B137" s="29"/>
      <c r="C137" s="31"/>
      <c r="D137" s="31"/>
      <c r="E137" s="31"/>
      <c r="F137" s="31"/>
      <c r="G137" s="30"/>
    </row>
    <row r="138" spans="2:7" ht="15" x14ac:dyDescent="0.2">
      <c r="B138" s="29"/>
      <c r="C138" s="31"/>
      <c r="D138" s="31"/>
      <c r="E138" s="31"/>
      <c r="F138" s="31"/>
      <c r="G138" s="30"/>
    </row>
    <row r="139" spans="2:7" ht="15" x14ac:dyDescent="0.2">
      <c r="B139" s="29"/>
      <c r="C139" s="31"/>
      <c r="D139" s="31"/>
      <c r="E139" s="31"/>
      <c r="F139" s="31"/>
      <c r="G139" s="30"/>
    </row>
    <row r="140" spans="2:7" ht="15" x14ac:dyDescent="0.2">
      <c r="B140" s="29"/>
      <c r="C140" s="31"/>
      <c r="D140" s="31"/>
      <c r="E140" s="31"/>
      <c r="F140" s="31"/>
    </row>
    <row r="141" spans="2:7" ht="15" x14ac:dyDescent="0.2">
      <c r="B141" s="29"/>
      <c r="C141" s="31"/>
      <c r="D141" s="31"/>
      <c r="E141" s="31"/>
      <c r="F141" s="31"/>
    </row>
    <row r="142" spans="2:7" ht="15" x14ac:dyDescent="0.2">
      <c r="B142" s="29"/>
      <c r="C142" s="31"/>
      <c r="D142" s="31"/>
      <c r="E142" s="31"/>
      <c r="F142" s="31"/>
    </row>
    <row r="143" spans="2:7" ht="15" x14ac:dyDescent="0.2">
      <c r="B143" s="29"/>
      <c r="C143" s="31"/>
      <c r="D143" s="31"/>
      <c r="E143" s="31"/>
      <c r="F143" s="31"/>
    </row>
    <row r="144" spans="2:7" ht="15" x14ac:dyDescent="0.2">
      <c r="B144" s="29"/>
      <c r="C144" s="31"/>
      <c r="D144" s="31"/>
      <c r="E144" s="31"/>
      <c r="F144" s="31"/>
    </row>
    <row r="145" spans="2:6" ht="15" x14ac:dyDescent="0.2">
      <c r="B145" s="29"/>
      <c r="C145" s="31"/>
      <c r="D145" s="31"/>
      <c r="E145" s="31"/>
      <c r="F145" s="31"/>
    </row>
    <row r="146" spans="2:6" ht="15" x14ac:dyDescent="0.2">
      <c r="B146" s="29"/>
      <c r="C146" s="31"/>
      <c r="D146" s="31"/>
      <c r="E146" s="31"/>
      <c r="F146" s="31"/>
    </row>
    <row r="147" spans="2:6" ht="15" x14ac:dyDescent="0.2">
      <c r="B147" s="29"/>
      <c r="C147" s="31"/>
      <c r="D147" s="31"/>
      <c r="E147" s="31"/>
      <c r="F147" s="31"/>
    </row>
    <row r="148" spans="2:6" ht="15" x14ac:dyDescent="0.2">
      <c r="B148" s="29"/>
      <c r="C148" s="31"/>
      <c r="D148" s="31"/>
      <c r="E148" s="31"/>
      <c r="F148" s="31"/>
    </row>
    <row r="149" spans="2:6" ht="15" x14ac:dyDescent="0.2">
      <c r="B149" s="29"/>
      <c r="C149" s="31"/>
      <c r="D149" s="31"/>
      <c r="E149" s="31"/>
      <c r="F149" s="31"/>
    </row>
    <row r="150" spans="2:6" ht="15" x14ac:dyDescent="0.2">
      <c r="B150" s="29"/>
      <c r="C150" s="31"/>
      <c r="D150" s="31"/>
      <c r="E150" s="31"/>
      <c r="F150" s="31"/>
    </row>
    <row r="151" spans="2:6" ht="15" x14ac:dyDescent="0.2">
      <c r="B151" s="29"/>
      <c r="C151" s="31"/>
      <c r="D151" s="31"/>
      <c r="E151" s="31"/>
      <c r="F151" s="31"/>
    </row>
  </sheetData>
  <mergeCells count="3">
    <mergeCell ref="A60:N60"/>
    <mergeCell ref="A73:N73"/>
    <mergeCell ref="A74:N74"/>
  </mergeCells>
  <phoneticPr fontId="18" type="noConversion"/>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5" tint="-0.249977111117893"/>
    <pageSetUpPr fitToPage="1"/>
  </sheetPr>
  <dimension ref="A1:AC55"/>
  <sheetViews>
    <sheetView topLeftCell="B1" zoomScale="82" zoomScaleNormal="82" zoomScaleSheetLayoutView="55" zoomScalePageLayoutView="82" workbookViewId="0">
      <selection activeCell="J35" sqref="J35"/>
    </sheetView>
  </sheetViews>
  <sheetFormatPr baseColWidth="10" defaultColWidth="8.83203125" defaultRowHeight="13" x14ac:dyDescent="0.15"/>
  <cols>
    <col min="1" max="1" width="2.5" style="2" hidden="1" customWidth="1"/>
    <col min="2" max="2" width="37" style="2" customWidth="1"/>
    <col min="3" max="3" width="11.1640625" style="22" bestFit="1" customWidth="1"/>
    <col min="4" max="4" width="11.33203125" style="20" bestFit="1" customWidth="1"/>
    <col min="5" max="5" width="11.5" style="2" bestFit="1" customWidth="1"/>
    <col min="6" max="6" width="12" style="2" bestFit="1" customWidth="1"/>
    <col min="7" max="7" width="12.33203125" style="2" bestFit="1" customWidth="1"/>
    <col min="8" max="8" width="13.5" style="2" bestFit="1" customWidth="1"/>
    <col min="9" max="9" width="12.5" style="2" customWidth="1"/>
    <col min="10" max="11" width="12.33203125" style="2" bestFit="1" customWidth="1"/>
    <col min="12" max="18" width="13.1640625" style="2" bestFit="1" customWidth="1"/>
    <col min="19" max="19" width="12" style="2" bestFit="1" customWidth="1"/>
    <col min="20" max="20" width="13.33203125" style="2" customWidth="1"/>
    <col min="21" max="21" width="17.83203125" style="2" bestFit="1" customWidth="1"/>
    <col min="22" max="22" width="10.6640625" style="2" bestFit="1" customWidth="1"/>
    <col min="23" max="28" width="13.5" style="2" customWidth="1"/>
    <col min="29" max="29" width="12.6640625" style="2" customWidth="1"/>
    <col min="30" max="16384" width="8.83203125" style="2"/>
  </cols>
  <sheetData>
    <row r="1" spans="2:20" ht="25" x14ac:dyDescent="0.25">
      <c r="B1" s="1" t="str">
        <f>'A.1 - Summary '!B1</f>
        <v>Millcreek Community Reinvestment Agency</v>
      </c>
      <c r="C1" s="19"/>
    </row>
    <row r="2" spans="2:20" ht="16" x14ac:dyDescent="0.2">
      <c r="B2" s="3" t="str">
        <f>'A.1 - Summary '!B2</f>
        <v>Millcreek Center CRA</v>
      </c>
      <c r="C2" s="21"/>
    </row>
    <row r="3" spans="2:20" ht="16" x14ac:dyDescent="0.2">
      <c r="B3" s="3" t="str">
        <f>'A.1 - Summary '!B3</f>
        <v>Increment and Budget Analysis</v>
      </c>
      <c r="C3" s="21"/>
    </row>
    <row r="4" spans="2:20" ht="16" x14ac:dyDescent="0.2">
      <c r="B4" s="4" t="s">
        <v>1252</v>
      </c>
      <c r="C4" s="21"/>
    </row>
    <row r="5" spans="2:20" x14ac:dyDescent="0.15">
      <c r="B5" s="218" t="s">
        <v>27</v>
      </c>
      <c r="C5" s="2"/>
      <c r="D5" s="2"/>
      <c r="T5" s="23"/>
    </row>
    <row r="6" spans="2:20" ht="14" thickBot="1" x14ac:dyDescent="0.2">
      <c r="C6" s="24"/>
      <c r="D6" s="24"/>
      <c r="E6" s="24"/>
      <c r="F6" s="24"/>
      <c r="G6" s="24"/>
      <c r="H6" s="25"/>
      <c r="I6" s="25"/>
      <c r="J6" s="25"/>
      <c r="K6" s="25"/>
      <c r="L6" s="25"/>
    </row>
    <row r="7" spans="2:20" ht="14" thickBot="1" x14ac:dyDescent="0.2">
      <c r="B7" s="1426" t="s">
        <v>28</v>
      </c>
      <c r="C7" s="1427"/>
      <c r="D7" s="26"/>
      <c r="E7" s="284" t="s">
        <v>1268</v>
      </c>
      <c r="F7" s="285"/>
      <c r="G7" s="285"/>
      <c r="H7" s="286" t="s">
        <v>1255</v>
      </c>
      <c r="I7" s="287" t="s">
        <v>1256</v>
      </c>
      <c r="J7" s="25"/>
      <c r="K7" s="25"/>
      <c r="L7" s="811" t="s">
        <v>1364</v>
      </c>
      <c r="M7" s="811"/>
      <c r="N7" s="811"/>
      <c r="O7" s="812">
        <f>349/439.45</f>
        <v>0.79417453635225854</v>
      </c>
    </row>
    <row r="8" spans="2:20" s="293" customFormat="1" ht="14" thickTop="1" x14ac:dyDescent="0.15">
      <c r="B8" s="15" t="s">
        <v>1241</v>
      </c>
      <c r="C8" s="300">
        <v>0.15</v>
      </c>
      <c r="D8" s="297"/>
      <c r="E8" s="276"/>
      <c r="F8" s="277"/>
      <c r="G8" s="278" t="s">
        <v>1257</v>
      </c>
      <c r="H8" s="330">
        <v>2102854073</v>
      </c>
      <c r="I8" s="279"/>
      <c r="J8" s="25"/>
      <c r="K8" s="25"/>
      <c r="L8" s="25"/>
      <c r="M8" s="25"/>
      <c r="N8" s="25"/>
    </row>
    <row r="9" spans="2:20" s="293" customFormat="1" x14ac:dyDescent="0.15">
      <c r="B9" s="15" t="s">
        <v>1242</v>
      </c>
      <c r="C9" s="300">
        <v>0.05</v>
      </c>
      <c r="D9" s="327"/>
      <c r="E9" s="280"/>
      <c r="F9" s="281"/>
      <c r="G9" s="282" t="s">
        <v>1269</v>
      </c>
      <c r="H9" s="329">
        <v>260079576</v>
      </c>
      <c r="I9" s="283">
        <f>H9/H8</f>
        <v>0.12367932674898455</v>
      </c>
      <c r="J9" s="331"/>
      <c r="K9" s="25"/>
      <c r="L9" s="25"/>
      <c r="M9" s="25"/>
      <c r="N9" s="25"/>
    </row>
    <row r="10" spans="2:20" s="293" customFormat="1" x14ac:dyDescent="0.15">
      <c r="B10" s="274" t="s">
        <v>1227</v>
      </c>
      <c r="C10" s="275" t="e">
        <f>'D.1 - Sales Tax Revenues'!#REF!</f>
        <v>#REF!</v>
      </c>
      <c r="D10" s="297"/>
      <c r="J10" s="25"/>
      <c r="K10" s="25"/>
      <c r="L10" s="25"/>
      <c r="M10" s="25"/>
      <c r="N10" s="25"/>
    </row>
    <row r="11" spans="2:20" s="293" customFormat="1" x14ac:dyDescent="0.15">
      <c r="B11" s="15" t="s">
        <v>1243</v>
      </c>
      <c r="C11" s="300">
        <v>0.65</v>
      </c>
      <c r="D11" s="326"/>
      <c r="E11" s="24"/>
      <c r="F11" s="24"/>
      <c r="G11" s="24"/>
      <c r="H11" s="25"/>
      <c r="I11" s="25"/>
      <c r="J11" s="25"/>
      <c r="K11" s="25"/>
      <c r="L11" s="25"/>
      <c r="M11" s="25"/>
      <c r="N11" s="25"/>
    </row>
    <row r="12" spans="2:20" s="293" customFormat="1" x14ac:dyDescent="0.15">
      <c r="B12" s="15" t="s">
        <v>1244</v>
      </c>
      <c r="C12" s="300">
        <v>0.05</v>
      </c>
      <c r="D12" s="328"/>
      <c r="E12" s="24"/>
      <c r="F12" s="24"/>
      <c r="G12" s="24"/>
      <c r="H12" s="25"/>
      <c r="I12" s="25"/>
      <c r="J12" s="25"/>
      <c r="K12" s="25"/>
      <c r="L12" s="25"/>
      <c r="M12" s="25"/>
      <c r="N12" s="25"/>
    </row>
    <row r="13" spans="2:20" s="293" customFormat="1" x14ac:dyDescent="0.15">
      <c r="B13" s="15" t="s">
        <v>1245</v>
      </c>
      <c r="C13" s="808" t="e">
        <f>'B.1 - Dev Pro Forma'!#REF!*'D.2 - Indirect Sales'!O7</f>
        <v>#REF!</v>
      </c>
      <c r="D13" s="328" t="s">
        <v>1275</v>
      </c>
      <c r="E13" s="24"/>
      <c r="F13" s="24"/>
      <c r="G13" s="24"/>
      <c r="H13" s="25"/>
      <c r="I13" s="25"/>
      <c r="J13" s="25"/>
      <c r="K13" s="25"/>
      <c r="L13" s="25"/>
      <c r="M13" s="25"/>
      <c r="N13" s="25"/>
    </row>
    <row r="14" spans="2:20" s="293" customFormat="1" ht="14" thickBot="1" x14ac:dyDescent="0.2">
      <c r="B14" s="273" t="s">
        <v>1246</v>
      </c>
      <c r="C14" s="333">
        <v>43000</v>
      </c>
      <c r="D14" s="297"/>
      <c r="E14" s="24"/>
      <c r="F14" s="24"/>
      <c r="G14" s="24"/>
      <c r="H14" s="25"/>
      <c r="I14" s="25"/>
      <c r="J14" s="25"/>
      <c r="K14" s="25"/>
      <c r="L14" s="25"/>
      <c r="M14" s="25"/>
      <c r="N14" s="25"/>
    </row>
    <row r="15" spans="2:20" s="293" customFormat="1" x14ac:dyDescent="0.15">
      <c r="C15" s="24"/>
      <c r="D15" s="297"/>
      <c r="E15" s="24"/>
      <c r="F15" s="24"/>
      <c r="G15" s="24"/>
      <c r="H15" s="25"/>
      <c r="I15" s="25"/>
      <c r="J15" s="25"/>
      <c r="K15" s="25"/>
      <c r="L15" s="25"/>
      <c r="M15" s="25"/>
      <c r="N15" s="25"/>
    </row>
    <row r="16" spans="2:20" s="293" customFormat="1" ht="14" thickBot="1" x14ac:dyDescent="0.2">
      <c r="C16" s="24"/>
      <c r="D16" s="297"/>
      <c r="E16" s="24"/>
      <c r="F16" s="24"/>
      <c r="G16" s="24"/>
      <c r="H16" s="25"/>
      <c r="I16" s="25"/>
      <c r="J16" s="25"/>
      <c r="K16" s="25"/>
      <c r="L16" s="25"/>
      <c r="M16" s="25"/>
      <c r="N16" s="25"/>
    </row>
    <row r="17" spans="1:29" x14ac:dyDescent="0.15">
      <c r="B17" s="219" t="s">
        <v>1249</v>
      </c>
      <c r="C17" s="220"/>
      <c r="D17" s="220"/>
      <c r="E17" s="220"/>
      <c r="F17" s="220"/>
      <c r="G17" s="220"/>
      <c r="H17" s="219"/>
      <c r="I17" s="220"/>
      <c r="J17" s="220"/>
      <c r="K17" s="220"/>
      <c r="L17" s="220"/>
      <c r="M17" s="220"/>
      <c r="N17" s="220"/>
      <c r="O17" s="220"/>
      <c r="P17" s="220"/>
      <c r="Q17" s="220"/>
      <c r="R17" s="221"/>
      <c r="S17" s="221"/>
      <c r="T17" s="221"/>
      <c r="U17" s="221"/>
      <c r="V17" s="221"/>
      <c r="W17" s="221"/>
      <c r="X17" s="221"/>
      <c r="Y17" s="221"/>
      <c r="Z17" s="221"/>
      <c r="AA17" s="221"/>
      <c r="AB17" s="221"/>
      <c r="AC17" s="221" t="s">
        <v>13</v>
      </c>
    </row>
    <row r="18" spans="1:29" ht="14" thickBot="1" x14ac:dyDescent="0.2">
      <c r="B18" s="226"/>
      <c r="C18" s="227">
        <f>'D.1 - Sales Tax Revenues'!C34</f>
        <v>2020</v>
      </c>
      <c r="D18" s="227">
        <f>'D.1 - Sales Tax Revenues'!D34</f>
        <v>2021</v>
      </c>
      <c r="E18" s="227">
        <f>'D.1 - Sales Tax Revenues'!E34</f>
        <v>2022</v>
      </c>
      <c r="F18" s="227">
        <f>'D.1 - Sales Tax Revenues'!F34</f>
        <v>2023</v>
      </c>
      <c r="G18" s="228">
        <f>'D.1 - Sales Tax Revenues'!G34</f>
        <v>2024</v>
      </c>
      <c r="H18" s="229">
        <f>'D.1 - Sales Tax Revenues'!H34</f>
        <v>2025</v>
      </c>
      <c r="I18" s="227">
        <f>'D.1 - Sales Tax Revenues'!I34</f>
        <v>2026</v>
      </c>
      <c r="J18" s="227">
        <f>'D.1 - Sales Tax Revenues'!J34</f>
        <v>2027</v>
      </c>
      <c r="K18" s="227">
        <f>'D.1 - Sales Tax Revenues'!K34</f>
        <v>2028</v>
      </c>
      <c r="L18" s="227">
        <f>'D.1 - Sales Tax Revenues'!L34</f>
        <v>2029</v>
      </c>
      <c r="M18" s="227">
        <f>'D.1 - Sales Tax Revenues'!M34</f>
        <v>2030</v>
      </c>
      <c r="N18" s="227">
        <f>'D.1 - Sales Tax Revenues'!N34</f>
        <v>2031</v>
      </c>
      <c r="O18" s="227">
        <f>'D.1 - Sales Tax Revenues'!O34</f>
        <v>2032</v>
      </c>
      <c r="P18" s="227">
        <f>'D.1 - Sales Tax Revenues'!U34</f>
        <v>2038</v>
      </c>
      <c r="Q18" s="227" t="e">
        <f>'D.1 - Sales Tax Revenues'!#REF!</f>
        <v>#REF!</v>
      </c>
      <c r="R18" s="230" t="e">
        <f>'D.1 - Sales Tax Revenues'!#REF!</f>
        <v>#REF!</v>
      </c>
      <c r="S18" s="230" t="e">
        <f>'D.1 - Sales Tax Revenues'!#REF!</f>
        <v>#REF!</v>
      </c>
      <c r="T18" s="230" t="e">
        <f>'D.1 - Sales Tax Revenues'!#REF!</f>
        <v>#REF!</v>
      </c>
      <c r="U18" s="230" t="e">
        <f>'D.1 - Sales Tax Revenues'!#REF!</f>
        <v>#REF!</v>
      </c>
      <c r="V18" s="230" t="e">
        <f>'D.1 - Sales Tax Revenues'!#REF!</f>
        <v>#REF!</v>
      </c>
      <c r="W18" s="230" t="e">
        <f>'D.1 - Sales Tax Revenues'!#REF!</f>
        <v>#REF!</v>
      </c>
      <c r="X18" s="230" t="e">
        <f>'D.1 - Sales Tax Revenues'!#REF!</f>
        <v>#REF!</v>
      </c>
      <c r="Y18" s="230" t="e">
        <f>'D.1 - Sales Tax Revenues'!#REF!</f>
        <v>#REF!</v>
      </c>
      <c r="Z18" s="230" t="e">
        <f>'D.1 - Sales Tax Revenues'!#REF!</f>
        <v>#REF!</v>
      </c>
      <c r="AA18" s="230" t="e">
        <f>'D.1 - Sales Tax Revenues'!#REF!</f>
        <v>#REF!</v>
      </c>
      <c r="AB18" s="230" t="e">
        <f>'D.1 - Sales Tax Revenues'!#REF!</f>
        <v>#REF!</v>
      </c>
      <c r="AC18" s="230"/>
    </row>
    <row r="19" spans="1:29" ht="14" thickBot="1" x14ac:dyDescent="0.2">
      <c r="A19" s="7"/>
      <c r="B19" s="312" t="s">
        <v>1212</v>
      </c>
      <c r="C19" s="231">
        <f>'D.1 - Sales Tax Revenues'!C35</f>
        <v>5130985.7104704008</v>
      </c>
      <c r="D19" s="231">
        <f>'D.1 - Sales Tax Revenues'!D35</f>
        <v>10140110.510317128</v>
      </c>
      <c r="E19" s="231">
        <f>'D.1 - Sales Tax Revenues'!E35</f>
        <v>12011124.44964016</v>
      </c>
      <c r="F19" s="231">
        <f>'D.1 - Sales Tax Revenues'!F35</f>
        <v>14293238.095071791</v>
      </c>
      <c r="G19" s="232">
        <f>'D.1 - Sales Tax Revenues'!G35</f>
        <v>16314710.339946227</v>
      </c>
      <c r="H19" s="233">
        <f>'D.1 - Sales Tax Revenues'!H35</f>
        <v>18411324.179377619</v>
      </c>
      <c r="I19" s="231">
        <f>'D.1 - Sales Tax Revenues'!I35</f>
        <v>21668712.303421348</v>
      </c>
      <c r="J19" s="231">
        <f>'D.1 - Sales Tax Revenues'!J35</f>
        <v>25049031.422755081</v>
      </c>
      <c r="K19" s="231">
        <f>'D.1 - Sales Tax Revenues'!K35</f>
        <v>29307366.764623445</v>
      </c>
      <c r="L19" s="234">
        <f>'D.1 - Sales Tax Revenues'!L35</f>
        <v>33726015.907597445</v>
      </c>
      <c r="M19" s="234">
        <f>'D.1 - Sales Tax Revenues'!M35</f>
        <v>39091518.438351586</v>
      </c>
      <c r="N19" s="234">
        <f>'D.1 - Sales Tax Revenues'!N35</f>
        <v>39873348.807118617</v>
      </c>
      <c r="O19" s="234">
        <f>'D.1 - Sales Tax Revenues'!O35</f>
        <v>40670815.783260994</v>
      </c>
      <c r="P19" s="234">
        <f>'D.1 - Sales Tax Revenues'!U35</f>
        <v>45801944.295917675</v>
      </c>
      <c r="Q19" s="234" t="e">
        <f>'D.1 - Sales Tax Revenues'!#REF!</f>
        <v>#REF!</v>
      </c>
      <c r="R19" s="235" t="e">
        <f>'D.1 - Sales Tax Revenues'!#REF!</f>
        <v>#REF!</v>
      </c>
      <c r="S19" s="235" t="e">
        <f>'D.1 - Sales Tax Revenues'!#REF!</f>
        <v>#REF!</v>
      </c>
      <c r="T19" s="235" t="e">
        <f>'D.1 - Sales Tax Revenues'!#REF!</f>
        <v>#REF!</v>
      </c>
      <c r="U19" s="235" t="e">
        <f>'D.1 - Sales Tax Revenues'!#REF!</f>
        <v>#REF!</v>
      </c>
      <c r="V19" s="235" t="e">
        <f>'D.1 - Sales Tax Revenues'!#REF!</f>
        <v>#REF!</v>
      </c>
      <c r="W19" s="235" t="e">
        <f>'D.1 - Sales Tax Revenues'!#REF!</f>
        <v>#REF!</v>
      </c>
      <c r="X19" s="235" t="e">
        <f>'D.1 - Sales Tax Revenues'!#REF!</f>
        <v>#REF!</v>
      </c>
      <c r="Y19" s="235" t="e">
        <f>'D.1 - Sales Tax Revenues'!#REF!</f>
        <v>#REF!</v>
      </c>
      <c r="Z19" s="235" t="e">
        <f>'D.1 - Sales Tax Revenues'!#REF!</f>
        <v>#REF!</v>
      </c>
      <c r="AA19" s="235" t="e">
        <f>'D.1 - Sales Tax Revenues'!#REF!</f>
        <v>#REF!</v>
      </c>
      <c r="AB19" s="235" t="e">
        <f>'D.1 - Sales Tax Revenues'!#REF!</f>
        <v>#REF!</v>
      </c>
      <c r="AC19" s="235" t="e">
        <f>SUM(C19:AB19)</f>
        <v>#REF!</v>
      </c>
    </row>
    <row r="20" spans="1:29" x14ac:dyDescent="0.15">
      <c r="A20" s="7"/>
      <c r="B20" s="313" t="s">
        <v>1238</v>
      </c>
      <c r="C20" s="295" t="e">
        <f t="shared" ref="C20:R20" si="0">C19*$C$10</f>
        <v>#REF!</v>
      </c>
      <c r="D20" s="295" t="e">
        <f t="shared" si="0"/>
        <v>#REF!</v>
      </c>
      <c r="E20" s="295" t="e">
        <f t="shared" si="0"/>
        <v>#REF!</v>
      </c>
      <c r="F20" s="295" t="e">
        <f t="shared" si="0"/>
        <v>#REF!</v>
      </c>
      <c r="G20" s="295" t="e">
        <f t="shared" si="0"/>
        <v>#REF!</v>
      </c>
      <c r="H20" s="295" t="e">
        <f t="shared" si="0"/>
        <v>#REF!</v>
      </c>
      <c r="I20" s="295" t="e">
        <f t="shared" si="0"/>
        <v>#REF!</v>
      </c>
      <c r="J20" s="295" t="e">
        <f t="shared" si="0"/>
        <v>#REF!</v>
      </c>
      <c r="K20" s="295" t="e">
        <f t="shared" si="0"/>
        <v>#REF!</v>
      </c>
      <c r="L20" s="295" t="e">
        <f t="shared" si="0"/>
        <v>#REF!</v>
      </c>
      <c r="M20" s="295" t="e">
        <f t="shared" si="0"/>
        <v>#REF!</v>
      </c>
      <c r="N20" s="295" t="e">
        <f t="shared" si="0"/>
        <v>#REF!</v>
      </c>
      <c r="O20" s="295" t="e">
        <f t="shared" si="0"/>
        <v>#REF!</v>
      </c>
      <c r="P20" s="295" t="e">
        <f t="shared" si="0"/>
        <v>#REF!</v>
      </c>
      <c r="Q20" s="295" t="e">
        <f t="shared" si="0"/>
        <v>#REF!</v>
      </c>
      <c r="R20" s="295" t="e">
        <f t="shared" si="0"/>
        <v>#REF!</v>
      </c>
      <c r="S20" s="295" t="e">
        <f t="shared" ref="S20:AB20" si="1">S19*$C$10</f>
        <v>#REF!</v>
      </c>
      <c r="T20" s="295" t="e">
        <f t="shared" si="1"/>
        <v>#REF!</v>
      </c>
      <c r="U20" s="295" t="e">
        <f t="shared" si="1"/>
        <v>#REF!</v>
      </c>
      <c r="V20" s="295" t="e">
        <f t="shared" si="1"/>
        <v>#REF!</v>
      </c>
      <c r="W20" s="295" t="e">
        <f t="shared" si="1"/>
        <v>#REF!</v>
      </c>
      <c r="X20" s="295" t="e">
        <f t="shared" si="1"/>
        <v>#REF!</v>
      </c>
      <c r="Y20" s="295" t="e">
        <f t="shared" si="1"/>
        <v>#REF!</v>
      </c>
      <c r="Z20" s="295" t="e">
        <f t="shared" si="1"/>
        <v>#REF!</v>
      </c>
      <c r="AA20" s="295" t="e">
        <f t="shared" si="1"/>
        <v>#REF!</v>
      </c>
      <c r="AB20" s="295" t="e">
        <f t="shared" si="1"/>
        <v>#REF!</v>
      </c>
      <c r="AC20" s="295" t="e">
        <f t="shared" ref="AC20:AC36" si="2">SUM(C20:AB20)</f>
        <v>#REF!</v>
      </c>
    </row>
    <row r="21" spans="1:29" x14ac:dyDescent="0.15">
      <c r="A21" s="7"/>
      <c r="B21" s="314" t="s">
        <v>1239</v>
      </c>
      <c r="C21" s="296" t="e">
        <f t="shared" ref="C21:R21" si="3">C20*$C$8</f>
        <v>#REF!</v>
      </c>
      <c r="D21" s="296" t="e">
        <f t="shared" si="3"/>
        <v>#REF!</v>
      </c>
      <c r="E21" s="296" t="e">
        <f t="shared" si="3"/>
        <v>#REF!</v>
      </c>
      <c r="F21" s="296" t="e">
        <f t="shared" si="3"/>
        <v>#REF!</v>
      </c>
      <c r="G21" s="222" t="e">
        <f t="shared" si="3"/>
        <v>#REF!</v>
      </c>
      <c r="H21" s="223" t="e">
        <f t="shared" si="3"/>
        <v>#REF!</v>
      </c>
      <c r="I21" s="296" t="e">
        <f t="shared" si="3"/>
        <v>#REF!</v>
      </c>
      <c r="J21" s="296" t="e">
        <f t="shared" si="3"/>
        <v>#REF!</v>
      </c>
      <c r="K21" s="296" t="e">
        <f t="shared" si="3"/>
        <v>#REF!</v>
      </c>
      <c r="L21" s="296" t="e">
        <f t="shared" si="3"/>
        <v>#REF!</v>
      </c>
      <c r="M21" s="296" t="e">
        <f t="shared" si="3"/>
        <v>#REF!</v>
      </c>
      <c r="N21" s="296" t="e">
        <f t="shared" si="3"/>
        <v>#REF!</v>
      </c>
      <c r="O21" s="296" t="e">
        <f t="shared" si="3"/>
        <v>#REF!</v>
      </c>
      <c r="P21" s="296" t="e">
        <f t="shared" si="3"/>
        <v>#REF!</v>
      </c>
      <c r="Q21" s="296" t="e">
        <f t="shared" si="3"/>
        <v>#REF!</v>
      </c>
      <c r="R21" s="217" t="e">
        <f t="shared" si="3"/>
        <v>#REF!</v>
      </c>
      <c r="S21" s="217" t="e">
        <f t="shared" ref="S21:Z21" si="4">S20*$C$8</f>
        <v>#REF!</v>
      </c>
      <c r="T21" s="217" t="e">
        <f t="shared" si="4"/>
        <v>#REF!</v>
      </c>
      <c r="U21" s="217" t="e">
        <f t="shared" si="4"/>
        <v>#REF!</v>
      </c>
      <c r="V21" s="217" t="e">
        <f t="shared" si="4"/>
        <v>#REF!</v>
      </c>
      <c r="W21" s="217" t="e">
        <f t="shared" si="4"/>
        <v>#REF!</v>
      </c>
      <c r="X21" s="217" t="e">
        <f t="shared" si="4"/>
        <v>#REF!</v>
      </c>
      <c r="Y21" s="217" t="e">
        <f t="shared" si="4"/>
        <v>#REF!</v>
      </c>
      <c r="Z21" s="217" t="e">
        <f t="shared" si="4"/>
        <v>#REF!</v>
      </c>
      <c r="AA21" s="217" t="e">
        <f>AA20*$C$8</f>
        <v>#REF!</v>
      </c>
      <c r="AB21" s="217" t="e">
        <f>AB20*$C$8</f>
        <v>#REF!</v>
      </c>
      <c r="AC21" s="217" t="e">
        <f t="shared" si="2"/>
        <v>#REF!</v>
      </c>
    </row>
    <row r="22" spans="1:29" s="293" customFormat="1" ht="14" thickBot="1" x14ac:dyDescent="0.2">
      <c r="A22" s="7"/>
      <c r="B22" s="301" t="s">
        <v>1240</v>
      </c>
      <c r="C22" s="266" t="e">
        <f t="shared" ref="C22:R22" si="5">C21*$C$9</f>
        <v>#REF!</v>
      </c>
      <c r="D22" s="266" t="e">
        <f t="shared" si="5"/>
        <v>#REF!</v>
      </c>
      <c r="E22" s="266" t="e">
        <f t="shared" si="5"/>
        <v>#REF!</v>
      </c>
      <c r="F22" s="266" t="e">
        <f t="shared" si="5"/>
        <v>#REF!</v>
      </c>
      <c r="G22" s="267" t="e">
        <f t="shared" si="5"/>
        <v>#REF!</v>
      </c>
      <c r="H22" s="268" t="e">
        <f t="shared" si="5"/>
        <v>#REF!</v>
      </c>
      <c r="I22" s="266" t="e">
        <f t="shared" si="5"/>
        <v>#REF!</v>
      </c>
      <c r="J22" s="266" t="e">
        <f t="shared" si="5"/>
        <v>#REF!</v>
      </c>
      <c r="K22" s="266" t="e">
        <f t="shared" si="5"/>
        <v>#REF!</v>
      </c>
      <c r="L22" s="266" t="e">
        <f t="shared" si="5"/>
        <v>#REF!</v>
      </c>
      <c r="M22" s="266" t="e">
        <f t="shared" si="5"/>
        <v>#REF!</v>
      </c>
      <c r="N22" s="266" t="e">
        <f t="shared" si="5"/>
        <v>#REF!</v>
      </c>
      <c r="O22" s="266" t="e">
        <f t="shared" si="5"/>
        <v>#REF!</v>
      </c>
      <c r="P22" s="266" t="e">
        <f t="shared" si="5"/>
        <v>#REF!</v>
      </c>
      <c r="Q22" s="266" t="e">
        <f t="shared" si="5"/>
        <v>#REF!</v>
      </c>
      <c r="R22" s="269" t="e">
        <f t="shared" si="5"/>
        <v>#REF!</v>
      </c>
      <c r="S22" s="269" t="e">
        <f t="shared" ref="S22:Z22" si="6">S21*$C$9</f>
        <v>#REF!</v>
      </c>
      <c r="T22" s="269" t="e">
        <f t="shared" si="6"/>
        <v>#REF!</v>
      </c>
      <c r="U22" s="269" t="e">
        <f t="shared" si="6"/>
        <v>#REF!</v>
      </c>
      <c r="V22" s="269" t="e">
        <f t="shared" si="6"/>
        <v>#REF!</v>
      </c>
      <c r="W22" s="269" t="e">
        <f t="shared" si="6"/>
        <v>#REF!</v>
      </c>
      <c r="X22" s="269" t="e">
        <f t="shared" si="6"/>
        <v>#REF!</v>
      </c>
      <c r="Y22" s="269" t="e">
        <f t="shared" si="6"/>
        <v>#REF!</v>
      </c>
      <c r="Z22" s="269" t="e">
        <f t="shared" si="6"/>
        <v>#REF!</v>
      </c>
      <c r="AA22" s="269" t="e">
        <f>AA21*$C$9</f>
        <v>#REF!</v>
      </c>
      <c r="AB22" s="269" t="e">
        <f>AB21*$C$9</f>
        <v>#REF!</v>
      </c>
      <c r="AC22" s="269" t="e">
        <f t="shared" si="2"/>
        <v>#REF!</v>
      </c>
    </row>
    <row r="23" spans="1:29" ht="14" thickBot="1" x14ac:dyDescent="0.2">
      <c r="A23" s="7"/>
      <c r="B23" s="301" t="str">
        <f>"Total Incremental Tax to Granite @ "&amp;ROUND(I9*100,2)&amp;"%"</f>
        <v>Total Incremental Tax to Granite @ 12.37%</v>
      </c>
      <c r="C23" s="266" t="e">
        <f t="shared" ref="C23:R23" si="7">C22*$I$9</f>
        <v>#REF!</v>
      </c>
      <c r="D23" s="266" t="e">
        <f t="shared" si="7"/>
        <v>#REF!</v>
      </c>
      <c r="E23" s="266" t="e">
        <f t="shared" si="7"/>
        <v>#REF!</v>
      </c>
      <c r="F23" s="266" t="e">
        <f t="shared" si="7"/>
        <v>#REF!</v>
      </c>
      <c r="G23" s="266" t="e">
        <f t="shared" si="7"/>
        <v>#REF!</v>
      </c>
      <c r="H23" s="266" t="e">
        <f t="shared" si="7"/>
        <v>#REF!</v>
      </c>
      <c r="I23" s="266" t="e">
        <f t="shared" si="7"/>
        <v>#REF!</v>
      </c>
      <c r="J23" s="266" t="e">
        <f t="shared" si="7"/>
        <v>#REF!</v>
      </c>
      <c r="K23" s="266" t="e">
        <f t="shared" si="7"/>
        <v>#REF!</v>
      </c>
      <c r="L23" s="266" t="e">
        <f t="shared" si="7"/>
        <v>#REF!</v>
      </c>
      <c r="M23" s="266" t="e">
        <f t="shared" si="7"/>
        <v>#REF!</v>
      </c>
      <c r="N23" s="266" t="e">
        <f t="shared" si="7"/>
        <v>#REF!</v>
      </c>
      <c r="O23" s="266" t="e">
        <f t="shared" si="7"/>
        <v>#REF!</v>
      </c>
      <c r="P23" s="266" t="e">
        <f t="shared" si="7"/>
        <v>#REF!</v>
      </c>
      <c r="Q23" s="266" t="e">
        <f t="shared" si="7"/>
        <v>#REF!</v>
      </c>
      <c r="R23" s="266" t="e">
        <f t="shared" si="7"/>
        <v>#REF!</v>
      </c>
      <c r="S23" s="266" t="e">
        <f t="shared" ref="S23:Z23" si="8">S22*$I$9</f>
        <v>#REF!</v>
      </c>
      <c r="T23" s="266" t="e">
        <f t="shared" si="8"/>
        <v>#REF!</v>
      </c>
      <c r="U23" s="266" t="e">
        <f t="shared" si="8"/>
        <v>#REF!</v>
      </c>
      <c r="V23" s="266" t="e">
        <f t="shared" si="8"/>
        <v>#REF!</v>
      </c>
      <c r="W23" s="266" t="e">
        <f t="shared" si="8"/>
        <v>#REF!</v>
      </c>
      <c r="X23" s="266" t="e">
        <f t="shared" si="8"/>
        <v>#REF!</v>
      </c>
      <c r="Y23" s="266" t="e">
        <f t="shared" si="8"/>
        <v>#REF!</v>
      </c>
      <c r="Z23" s="266" t="e">
        <f t="shared" si="8"/>
        <v>#REF!</v>
      </c>
      <c r="AA23" s="266" t="e">
        <f>AA22*$I$9</f>
        <v>#REF!</v>
      </c>
      <c r="AB23" s="266" t="e">
        <f>AB22*$I$9</f>
        <v>#REF!</v>
      </c>
      <c r="AC23" s="266" t="e">
        <f t="shared" si="2"/>
        <v>#REF!</v>
      </c>
    </row>
    <row r="24" spans="1:29" ht="14" thickBot="1" x14ac:dyDescent="0.2">
      <c r="B24" s="224"/>
      <c r="C24" s="270"/>
      <c r="D24" s="225"/>
      <c r="E24" s="225"/>
      <c r="F24" s="225"/>
      <c r="G24" s="225"/>
      <c r="H24" s="225"/>
      <c r="I24" s="225"/>
      <c r="J24" s="225"/>
      <c r="K24" s="225"/>
      <c r="L24" s="225"/>
      <c r="M24" s="225"/>
      <c r="N24" s="225"/>
      <c r="O24" s="225"/>
      <c r="P24" s="225"/>
      <c r="Q24" s="225"/>
      <c r="R24" s="225"/>
      <c r="S24" s="298"/>
      <c r="T24" s="298"/>
      <c r="U24" s="298"/>
      <c r="V24" s="298"/>
      <c r="W24" s="298"/>
      <c r="X24" s="298"/>
      <c r="Y24" s="298"/>
      <c r="Z24" s="298"/>
      <c r="AA24" s="298"/>
      <c r="AB24" s="298"/>
      <c r="AC24" s="298"/>
    </row>
    <row r="25" spans="1:29" x14ac:dyDescent="0.15">
      <c r="B25" s="261" t="s">
        <v>1248</v>
      </c>
      <c r="C25" s="262"/>
      <c r="D25" s="262"/>
      <c r="E25" s="262"/>
      <c r="F25" s="262"/>
      <c r="G25" s="262"/>
      <c r="H25" s="263"/>
      <c r="I25" s="262"/>
      <c r="J25" s="262"/>
      <c r="K25" s="262"/>
      <c r="L25" s="262"/>
      <c r="M25" s="262"/>
      <c r="N25" s="262"/>
      <c r="O25" s="262"/>
      <c r="P25" s="262"/>
      <c r="Q25" s="262"/>
      <c r="R25" s="264"/>
      <c r="S25" s="264"/>
      <c r="T25" s="264"/>
      <c r="U25" s="264"/>
      <c r="V25" s="264"/>
      <c r="W25" s="264"/>
      <c r="X25" s="264"/>
      <c r="Y25" s="264"/>
      <c r="Z25" s="264"/>
      <c r="AA25" s="264"/>
      <c r="AB25" s="264"/>
      <c r="AC25" s="264"/>
    </row>
    <row r="26" spans="1:29" x14ac:dyDescent="0.15">
      <c r="A26" s="7"/>
      <c r="B26" s="307"/>
      <c r="C26" s="308">
        <f>C18</f>
        <v>2020</v>
      </c>
      <c r="D26" s="308">
        <f>C26+1</f>
        <v>2021</v>
      </c>
      <c r="E26" s="308">
        <f>D26+1</f>
        <v>2022</v>
      </c>
      <c r="F26" s="308">
        <f>E26+1</f>
        <v>2023</v>
      </c>
      <c r="G26" s="309">
        <f>F26+1</f>
        <v>2024</v>
      </c>
      <c r="H26" s="310">
        <f>G26+1</f>
        <v>2025</v>
      </c>
      <c r="I26" s="308">
        <f t="shared" ref="I26:R26" si="9">H26+1</f>
        <v>2026</v>
      </c>
      <c r="J26" s="308">
        <f t="shared" si="9"/>
        <v>2027</v>
      </c>
      <c r="K26" s="308">
        <f t="shared" si="9"/>
        <v>2028</v>
      </c>
      <c r="L26" s="308">
        <f t="shared" si="9"/>
        <v>2029</v>
      </c>
      <c r="M26" s="308">
        <f t="shared" si="9"/>
        <v>2030</v>
      </c>
      <c r="N26" s="308">
        <f t="shared" si="9"/>
        <v>2031</v>
      </c>
      <c r="O26" s="308">
        <f t="shared" si="9"/>
        <v>2032</v>
      </c>
      <c r="P26" s="308">
        <f t="shared" si="9"/>
        <v>2033</v>
      </c>
      <c r="Q26" s="308">
        <f t="shared" si="9"/>
        <v>2034</v>
      </c>
      <c r="R26" s="311">
        <f t="shared" si="9"/>
        <v>2035</v>
      </c>
      <c r="S26" s="311">
        <f t="shared" ref="S26:AB26" si="10">R26+1</f>
        <v>2036</v>
      </c>
      <c r="T26" s="311">
        <f t="shared" si="10"/>
        <v>2037</v>
      </c>
      <c r="U26" s="311">
        <f t="shared" si="10"/>
        <v>2038</v>
      </c>
      <c r="V26" s="311">
        <f t="shared" si="10"/>
        <v>2039</v>
      </c>
      <c r="W26" s="311">
        <f t="shared" si="10"/>
        <v>2040</v>
      </c>
      <c r="X26" s="311">
        <f t="shared" si="10"/>
        <v>2041</v>
      </c>
      <c r="Y26" s="311">
        <f t="shared" si="10"/>
        <v>2042</v>
      </c>
      <c r="Z26" s="311">
        <f t="shared" si="10"/>
        <v>2043</v>
      </c>
      <c r="AA26" s="311">
        <f t="shared" si="10"/>
        <v>2044</v>
      </c>
      <c r="AB26" s="311">
        <f t="shared" si="10"/>
        <v>2045</v>
      </c>
      <c r="AC26" s="311">
        <f t="shared" si="2"/>
        <v>52845</v>
      </c>
    </row>
    <row r="27" spans="1:29" s="345" customFormat="1" x14ac:dyDescent="0.15">
      <c r="A27" s="344"/>
      <c r="B27" s="346" t="s">
        <v>1274</v>
      </c>
      <c r="C27" s="347" t="e">
        <f>'B.1 - Dev Pro Forma'!#REF!</f>
        <v>#REF!</v>
      </c>
      <c r="D27" s="347" t="e">
        <f>'B.1 - Dev Pro Forma'!#REF!</f>
        <v>#REF!</v>
      </c>
      <c r="E27" s="347" t="e">
        <f>'B.1 - Dev Pro Forma'!#REF!</f>
        <v>#REF!</v>
      </c>
      <c r="F27" s="347" t="e">
        <f>'B.1 - Dev Pro Forma'!#REF!</f>
        <v>#REF!</v>
      </c>
      <c r="G27" s="347" t="e">
        <f>'B.1 - Dev Pro Forma'!#REF!</f>
        <v>#REF!</v>
      </c>
      <c r="H27" s="347" t="e">
        <f>'B.1 - Dev Pro Forma'!#REF!</f>
        <v>#REF!</v>
      </c>
      <c r="I27" s="347" t="e">
        <f>'B.1 - Dev Pro Forma'!#REF!</f>
        <v>#REF!</v>
      </c>
      <c r="J27" s="347" t="e">
        <f>'B.1 - Dev Pro Forma'!#REF!</f>
        <v>#REF!</v>
      </c>
      <c r="K27" s="347" t="e">
        <f>'B.1 - Dev Pro Forma'!#REF!</f>
        <v>#REF!</v>
      </c>
      <c r="L27" s="347" t="e">
        <f>'B.1 - Dev Pro Forma'!#REF!</f>
        <v>#REF!</v>
      </c>
      <c r="M27" s="347" t="e">
        <f>'B.1 - Dev Pro Forma'!#REF!</f>
        <v>#REF!</v>
      </c>
      <c r="N27" s="347" t="e">
        <f>'B.1 - Dev Pro Forma'!#REF!</f>
        <v>#REF!</v>
      </c>
      <c r="O27" s="347" t="e">
        <f>'B.1 - Dev Pro Forma'!#REF!</f>
        <v>#REF!</v>
      </c>
      <c r="P27" s="347" t="e">
        <f>'B.1 - Dev Pro Forma'!#REF!</f>
        <v>#REF!</v>
      </c>
      <c r="Q27" s="347" t="e">
        <f>'B.1 - Dev Pro Forma'!#REF!</f>
        <v>#REF!</v>
      </c>
      <c r="R27" s="347" t="e">
        <f>'B.1 - Dev Pro Forma'!#REF!</f>
        <v>#REF!</v>
      </c>
      <c r="S27" s="347" t="e">
        <f>'B.1 - Dev Pro Forma'!#REF!</f>
        <v>#REF!</v>
      </c>
      <c r="T27" s="347" t="e">
        <f>'B.1 - Dev Pro Forma'!#REF!</f>
        <v>#REF!</v>
      </c>
      <c r="U27" s="347" t="e">
        <f>'B.1 - Dev Pro Forma'!#REF!</f>
        <v>#REF!</v>
      </c>
      <c r="V27" s="347" t="e">
        <f>'B.1 - Dev Pro Forma'!#REF!</f>
        <v>#REF!</v>
      </c>
      <c r="W27" s="347" t="e">
        <f>'B.1 - Dev Pro Forma'!#REF!</f>
        <v>#REF!</v>
      </c>
      <c r="X27" s="347" t="e">
        <f>'B.1 - Dev Pro Forma'!#REF!</f>
        <v>#REF!</v>
      </c>
      <c r="Y27" s="347" t="e">
        <f>'B.1 - Dev Pro Forma'!#REF!</f>
        <v>#REF!</v>
      </c>
      <c r="Z27" s="347" t="e">
        <f>'B.1 - Dev Pro Forma'!#REF!</f>
        <v>#REF!</v>
      </c>
      <c r="AA27" s="347" t="e">
        <f>'B.1 - Dev Pro Forma'!#REF!</f>
        <v>#REF!</v>
      </c>
      <c r="AB27" s="347" t="e">
        <f>'B.1 - Dev Pro Forma'!#REF!</f>
        <v>#REF!</v>
      </c>
      <c r="AC27" s="348" t="e">
        <f t="shared" si="2"/>
        <v>#REF!</v>
      </c>
    </row>
    <row r="28" spans="1:29" x14ac:dyDescent="0.15">
      <c r="A28" s="7"/>
      <c r="B28" s="292" t="s">
        <v>1245</v>
      </c>
      <c r="C28" s="332" t="e">
        <f>$C$13*C27</f>
        <v>#REF!</v>
      </c>
      <c r="D28" s="332" t="e">
        <f>($C$13*D27)+C28</f>
        <v>#REF!</v>
      </c>
      <c r="E28" s="332" t="e">
        <f t="shared" ref="E28:AB28" si="11">($C$13*E27)+D28</f>
        <v>#REF!</v>
      </c>
      <c r="F28" s="332" t="e">
        <f t="shared" si="11"/>
        <v>#REF!</v>
      </c>
      <c r="G28" s="332" t="e">
        <f t="shared" si="11"/>
        <v>#REF!</v>
      </c>
      <c r="H28" s="332" t="e">
        <f t="shared" si="11"/>
        <v>#REF!</v>
      </c>
      <c r="I28" s="332" t="e">
        <f t="shared" si="11"/>
        <v>#REF!</v>
      </c>
      <c r="J28" s="332" t="e">
        <f t="shared" si="11"/>
        <v>#REF!</v>
      </c>
      <c r="K28" s="332" t="e">
        <f t="shared" si="11"/>
        <v>#REF!</v>
      </c>
      <c r="L28" s="332" t="e">
        <f t="shared" si="11"/>
        <v>#REF!</v>
      </c>
      <c r="M28" s="332" t="e">
        <f t="shared" si="11"/>
        <v>#REF!</v>
      </c>
      <c r="N28" s="332" t="e">
        <f t="shared" si="11"/>
        <v>#REF!</v>
      </c>
      <c r="O28" s="332" t="e">
        <f t="shared" si="11"/>
        <v>#REF!</v>
      </c>
      <c r="P28" s="332" t="e">
        <f t="shared" si="11"/>
        <v>#REF!</v>
      </c>
      <c r="Q28" s="332" t="e">
        <f t="shared" si="11"/>
        <v>#REF!</v>
      </c>
      <c r="R28" s="332" t="e">
        <f t="shared" si="11"/>
        <v>#REF!</v>
      </c>
      <c r="S28" s="332" t="e">
        <f t="shared" si="11"/>
        <v>#REF!</v>
      </c>
      <c r="T28" s="332" t="e">
        <f t="shared" si="11"/>
        <v>#REF!</v>
      </c>
      <c r="U28" s="332" t="e">
        <f t="shared" si="11"/>
        <v>#REF!</v>
      </c>
      <c r="V28" s="332" t="e">
        <f t="shared" si="11"/>
        <v>#REF!</v>
      </c>
      <c r="W28" s="332" t="e">
        <f t="shared" si="11"/>
        <v>#REF!</v>
      </c>
      <c r="X28" s="332" t="e">
        <f t="shared" si="11"/>
        <v>#REF!</v>
      </c>
      <c r="Y28" s="332" t="e">
        <f t="shared" si="11"/>
        <v>#REF!</v>
      </c>
      <c r="Z28" s="332" t="e">
        <f t="shared" si="11"/>
        <v>#REF!</v>
      </c>
      <c r="AA28" s="332" t="e">
        <f t="shared" si="11"/>
        <v>#REF!</v>
      </c>
      <c r="AB28" s="332" t="e">
        <f t="shared" si="11"/>
        <v>#REF!</v>
      </c>
      <c r="AC28" s="332"/>
    </row>
    <row r="29" spans="1:29" x14ac:dyDescent="0.15">
      <c r="A29" s="7"/>
      <c r="B29" s="292" t="s">
        <v>1250</v>
      </c>
      <c r="C29" s="296" t="e">
        <f t="shared" ref="C29:R29" si="12">C28*$C$14</f>
        <v>#REF!</v>
      </c>
      <c r="D29" s="296" t="e">
        <f t="shared" si="12"/>
        <v>#REF!</v>
      </c>
      <c r="E29" s="296" t="e">
        <f t="shared" si="12"/>
        <v>#REF!</v>
      </c>
      <c r="F29" s="296" t="e">
        <f t="shared" si="12"/>
        <v>#REF!</v>
      </c>
      <c r="G29" s="296" t="e">
        <f t="shared" si="12"/>
        <v>#REF!</v>
      </c>
      <c r="H29" s="296" t="e">
        <f t="shared" si="12"/>
        <v>#REF!</v>
      </c>
      <c r="I29" s="296" t="e">
        <f t="shared" si="12"/>
        <v>#REF!</v>
      </c>
      <c r="J29" s="296" t="e">
        <f t="shared" si="12"/>
        <v>#REF!</v>
      </c>
      <c r="K29" s="296" t="e">
        <f t="shared" si="12"/>
        <v>#REF!</v>
      </c>
      <c r="L29" s="296" t="e">
        <f t="shared" si="12"/>
        <v>#REF!</v>
      </c>
      <c r="M29" s="296" t="e">
        <f t="shared" si="12"/>
        <v>#REF!</v>
      </c>
      <c r="N29" s="296" t="e">
        <f t="shared" si="12"/>
        <v>#REF!</v>
      </c>
      <c r="O29" s="296" t="e">
        <f t="shared" si="12"/>
        <v>#REF!</v>
      </c>
      <c r="P29" s="296" t="e">
        <f t="shared" si="12"/>
        <v>#REF!</v>
      </c>
      <c r="Q29" s="296" t="e">
        <f t="shared" si="12"/>
        <v>#REF!</v>
      </c>
      <c r="R29" s="296" t="e">
        <f t="shared" si="12"/>
        <v>#REF!</v>
      </c>
      <c r="S29" s="296" t="e">
        <f t="shared" ref="S29:Z29" si="13">S28*$C$14</f>
        <v>#REF!</v>
      </c>
      <c r="T29" s="296" t="e">
        <f t="shared" si="13"/>
        <v>#REF!</v>
      </c>
      <c r="U29" s="296" t="e">
        <f t="shared" si="13"/>
        <v>#REF!</v>
      </c>
      <c r="V29" s="296" t="e">
        <f t="shared" si="13"/>
        <v>#REF!</v>
      </c>
      <c r="W29" s="296" t="e">
        <f t="shared" si="13"/>
        <v>#REF!</v>
      </c>
      <c r="X29" s="296" t="e">
        <f t="shared" si="13"/>
        <v>#REF!</v>
      </c>
      <c r="Y29" s="296" t="e">
        <f t="shared" si="13"/>
        <v>#REF!</v>
      </c>
      <c r="Z29" s="296" t="e">
        <f t="shared" si="13"/>
        <v>#REF!</v>
      </c>
      <c r="AA29" s="296" t="e">
        <f>AA28*$C$14</f>
        <v>#REF!</v>
      </c>
      <c r="AB29" s="296" t="e">
        <f>AB28*$C$14</f>
        <v>#REF!</v>
      </c>
      <c r="AC29" s="296" t="e">
        <f>SUM(C29:AB29)</f>
        <v>#REF!</v>
      </c>
    </row>
    <row r="30" spans="1:29" x14ac:dyDescent="0.15">
      <c r="A30" s="7"/>
      <c r="B30" s="292" t="s">
        <v>1271</v>
      </c>
      <c r="C30" s="296" t="e">
        <f t="shared" ref="C30:R30" si="14">C29*$C$11</f>
        <v>#REF!</v>
      </c>
      <c r="D30" s="296" t="e">
        <f t="shared" si="14"/>
        <v>#REF!</v>
      </c>
      <c r="E30" s="296" t="e">
        <f t="shared" si="14"/>
        <v>#REF!</v>
      </c>
      <c r="F30" s="296" t="e">
        <f t="shared" si="14"/>
        <v>#REF!</v>
      </c>
      <c r="G30" s="296" t="e">
        <f t="shared" si="14"/>
        <v>#REF!</v>
      </c>
      <c r="H30" s="296" t="e">
        <f t="shared" si="14"/>
        <v>#REF!</v>
      </c>
      <c r="I30" s="296" t="e">
        <f t="shared" si="14"/>
        <v>#REF!</v>
      </c>
      <c r="J30" s="296" t="e">
        <f t="shared" si="14"/>
        <v>#REF!</v>
      </c>
      <c r="K30" s="296" t="e">
        <f t="shared" si="14"/>
        <v>#REF!</v>
      </c>
      <c r="L30" s="296" t="e">
        <f t="shared" si="14"/>
        <v>#REF!</v>
      </c>
      <c r="M30" s="296" t="e">
        <f t="shared" si="14"/>
        <v>#REF!</v>
      </c>
      <c r="N30" s="296" t="e">
        <f t="shared" si="14"/>
        <v>#REF!</v>
      </c>
      <c r="O30" s="296" t="e">
        <f t="shared" si="14"/>
        <v>#REF!</v>
      </c>
      <c r="P30" s="296" t="e">
        <f t="shared" si="14"/>
        <v>#REF!</v>
      </c>
      <c r="Q30" s="296" t="e">
        <f t="shared" si="14"/>
        <v>#REF!</v>
      </c>
      <c r="R30" s="296" t="e">
        <f t="shared" si="14"/>
        <v>#REF!</v>
      </c>
      <c r="S30" s="296" t="e">
        <f t="shared" ref="S30:Z30" si="15">S29*$C$11</f>
        <v>#REF!</v>
      </c>
      <c r="T30" s="296" t="e">
        <f t="shared" si="15"/>
        <v>#REF!</v>
      </c>
      <c r="U30" s="296" t="e">
        <f t="shared" si="15"/>
        <v>#REF!</v>
      </c>
      <c r="V30" s="296" t="e">
        <f t="shared" si="15"/>
        <v>#REF!</v>
      </c>
      <c r="W30" s="296" t="e">
        <f t="shared" si="15"/>
        <v>#REF!</v>
      </c>
      <c r="X30" s="296" t="e">
        <f t="shared" si="15"/>
        <v>#REF!</v>
      </c>
      <c r="Y30" s="296" t="e">
        <f t="shared" si="15"/>
        <v>#REF!</v>
      </c>
      <c r="Z30" s="296" t="e">
        <f t="shared" si="15"/>
        <v>#REF!</v>
      </c>
      <c r="AA30" s="296" t="e">
        <f>AA29*$C$11</f>
        <v>#REF!</v>
      </c>
      <c r="AB30" s="296" t="e">
        <f>AB29*$C$11</f>
        <v>#REF!</v>
      </c>
      <c r="AC30" s="296" t="e">
        <f t="shared" si="2"/>
        <v>#REF!</v>
      </c>
    </row>
    <row r="31" spans="1:29" ht="14" thickBot="1" x14ac:dyDescent="0.2">
      <c r="A31" s="7"/>
      <c r="B31" s="301" t="s">
        <v>1247</v>
      </c>
      <c r="C31" s="266" t="e">
        <f t="shared" ref="C31:R31" si="16">C30*$C$12</f>
        <v>#REF!</v>
      </c>
      <c r="D31" s="266" t="e">
        <f t="shared" si="16"/>
        <v>#REF!</v>
      </c>
      <c r="E31" s="266" t="e">
        <f t="shared" si="16"/>
        <v>#REF!</v>
      </c>
      <c r="F31" s="266" t="e">
        <f t="shared" si="16"/>
        <v>#REF!</v>
      </c>
      <c r="G31" s="267" t="e">
        <f t="shared" si="16"/>
        <v>#REF!</v>
      </c>
      <c r="H31" s="268" t="e">
        <f t="shared" si="16"/>
        <v>#REF!</v>
      </c>
      <c r="I31" s="266" t="e">
        <f t="shared" si="16"/>
        <v>#REF!</v>
      </c>
      <c r="J31" s="266" t="e">
        <f t="shared" si="16"/>
        <v>#REF!</v>
      </c>
      <c r="K31" s="266" t="e">
        <f t="shared" si="16"/>
        <v>#REF!</v>
      </c>
      <c r="L31" s="266" t="e">
        <f t="shared" si="16"/>
        <v>#REF!</v>
      </c>
      <c r="M31" s="266" t="e">
        <f t="shared" si="16"/>
        <v>#REF!</v>
      </c>
      <c r="N31" s="266" t="e">
        <f t="shared" si="16"/>
        <v>#REF!</v>
      </c>
      <c r="O31" s="266" t="e">
        <f t="shared" si="16"/>
        <v>#REF!</v>
      </c>
      <c r="P31" s="266" t="e">
        <f t="shared" si="16"/>
        <v>#REF!</v>
      </c>
      <c r="Q31" s="266" t="e">
        <f t="shared" si="16"/>
        <v>#REF!</v>
      </c>
      <c r="R31" s="269" t="e">
        <f t="shared" si="16"/>
        <v>#REF!</v>
      </c>
      <c r="S31" s="269" t="e">
        <f t="shared" ref="S31:Z31" si="17">S30*$C$12</f>
        <v>#REF!</v>
      </c>
      <c r="T31" s="269" t="e">
        <f t="shared" si="17"/>
        <v>#REF!</v>
      </c>
      <c r="U31" s="269" t="e">
        <f t="shared" si="17"/>
        <v>#REF!</v>
      </c>
      <c r="V31" s="269" t="e">
        <f t="shared" si="17"/>
        <v>#REF!</v>
      </c>
      <c r="W31" s="269" t="e">
        <f t="shared" si="17"/>
        <v>#REF!</v>
      </c>
      <c r="X31" s="269" t="e">
        <f t="shared" si="17"/>
        <v>#REF!</v>
      </c>
      <c r="Y31" s="269" t="e">
        <f t="shared" si="17"/>
        <v>#REF!</v>
      </c>
      <c r="Z31" s="269" t="e">
        <f t="shared" si="17"/>
        <v>#REF!</v>
      </c>
      <c r="AA31" s="269" t="e">
        <f>AA30*$C$12</f>
        <v>#REF!</v>
      </c>
      <c r="AB31" s="269" t="e">
        <f>AB30*$C$12</f>
        <v>#REF!</v>
      </c>
      <c r="AC31" s="269" t="e">
        <f t="shared" si="2"/>
        <v>#REF!</v>
      </c>
    </row>
    <row r="32" spans="1:29" ht="14" thickBot="1" x14ac:dyDescent="0.2">
      <c r="A32" s="7"/>
      <c r="B32" s="301" t="str">
        <f>"Total Incremental Tax to Granite @ "&amp;ROUND(I9*100,2)&amp;"%"</f>
        <v>Total Incremental Tax to Granite @ 12.37%</v>
      </c>
      <c r="C32" s="266" t="e">
        <f t="shared" ref="C32:R32" si="18">C31*$I$9</f>
        <v>#REF!</v>
      </c>
      <c r="D32" s="266" t="e">
        <f t="shared" si="18"/>
        <v>#REF!</v>
      </c>
      <c r="E32" s="266" t="e">
        <f t="shared" si="18"/>
        <v>#REF!</v>
      </c>
      <c r="F32" s="266" t="e">
        <f t="shared" si="18"/>
        <v>#REF!</v>
      </c>
      <c r="G32" s="267" t="e">
        <f t="shared" si="18"/>
        <v>#REF!</v>
      </c>
      <c r="H32" s="268" t="e">
        <f t="shared" si="18"/>
        <v>#REF!</v>
      </c>
      <c r="I32" s="266" t="e">
        <f t="shared" si="18"/>
        <v>#REF!</v>
      </c>
      <c r="J32" s="266" t="e">
        <f t="shared" si="18"/>
        <v>#REF!</v>
      </c>
      <c r="K32" s="266" t="e">
        <f t="shared" si="18"/>
        <v>#REF!</v>
      </c>
      <c r="L32" s="266" t="e">
        <f t="shared" si="18"/>
        <v>#REF!</v>
      </c>
      <c r="M32" s="266" t="e">
        <f t="shared" si="18"/>
        <v>#REF!</v>
      </c>
      <c r="N32" s="266" t="e">
        <f t="shared" si="18"/>
        <v>#REF!</v>
      </c>
      <c r="O32" s="266" t="e">
        <f t="shared" si="18"/>
        <v>#REF!</v>
      </c>
      <c r="P32" s="266" t="e">
        <f t="shared" si="18"/>
        <v>#REF!</v>
      </c>
      <c r="Q32" s="266" t="e">
        <f t="shared" si="18"/>
        <v>#REF!</v>
      </c>
      <c r="R32" s="269" t="e">
        <f t="shared" si="18"/>
        <v>#REF!</v>
      </c>
      <c r="S32" s="269" t="e">
        <f t="shared" ref="S32:Z32" si="19">S31*$I$9</f>
        <v>#REF!</v>
      </c>
      <c r="T32" s="269" t="e">
        <f t="shared" si="19"/>
        <v>#REF!</v>
      </c>
      <c r="U32" s="269" t="e">
        <f t="shared" si="19"/>
        <v>#REF!</v>
      </c>
      <c r="V32" s="269" t="e">
        <f t="shared" si="19"/>
        <v>#REF!</v>
      </c>
      <c r="W32" s="269" t="e">
        <f t="shared" si="19"/>
        <v>#REF!</v>
      </c>
      <c r="X32" s="269" t="e">
        <f t="shared" si="19"/>
        <v>#REF!</v>
      </c>
      <c r="Y32" s="269" t="e">
        <f t="shared" si="19"/>
        <v>#REF!</v>
      </c>
      <c r="Z32" s="269" t="e">
        <f t="shared" si="19"/>
        <v>#REF!</v>
      </c>
      <c r="AA32" s="269" t="e">
        <f>AA31*$I$9</f>
        <v>#REF!</v>
      </c>
      <c r="AB32" s="269" t="e">
        <f>AB31*$I$9</f>
        <v>#REF!</v>
      </c>
      <c r="AC32" s="269" t="e">
        <f t="shared" si="2"/>
        <v>#REF!</v>
      </c>
    </row>
    <row r="33" spans="1:29" ht="14" thickBot="1" x14ac:dyDescent="0.2">
      <c r="A33" s="7"/>
      <c r="B33" s="7"/>
      <c r="C33" s="302"/>
      <c r="D33" s="7"/>
      <c r="E33" s="7"/>
      <c r="F33" s="7"/>
      <c r="G33" s="7"/>
      <c r="H33" s="7"/>
      <c r="I33" s="7"/>
      <c r="J33" s="7"/>
      <c r="K33" s="7"/>
      <c r="L33" s="7"/>
      <c r="M33" s="7"/>
      <c r="N33" s="7"/>
      <c r="O33" s="7"/>
      <c r="P33" s="7"/>
      <c r="Q33" s="7"/>
      <c r="R33" s="7"/>
      <c r="S33" s="7"/>
      <c r="T33" s="7"/>
      <c r="U33" s="7"/>
      <c r="V33" s="7"/>
      <c r="W33" s="7"/>
      <c r="X33" s="7"/>
      <c r="Y33" s="7"/>
      <c r="Z33" s="7"/>
      <c r="AA33" s="7"/>
      <c r="AB33" s="7"/>
      <c r="AC33" s="7"/>
    </row>
    <row r="34" spans="1:29" x14ac:dyDescent="0.15">
      <c r="A34" s="7"/>
      <c r="B34" s="303" t="s">
        <v>1258</v>
      </c>
      <c r="C34" s="304"/>
      <c r="D34" s="304"/>
      <c r="E34" s="304"/>
      <c r="F34" s="304"/>
      <c r="G34" s="304"/>
      <c r="H34" s="305"/>
      <c r="I34" s="304"/>
      <c r="J34" s="304"/>
      <c r="K34" s="304"/>
      <c r="L34" s="304"/>
      <c r="M34" s="304"/>
      <c r="N34" s="304"/>
      <c r="O34" s="304"/>
      <c r="P34" s="304"/>
      <c r="Q34" s="304"/>
      <c r="R34" s="306"/>
      <c r="S34" s="306"/>
      <c r="T34" s="306"/>
      <c r="U34" s="306"/>
      <c r="V34" s="306"/>
      <c r="W34" s="306"/>
      <c r="X34" s="306"/>
      <c r="Y34" s="306"/>
      <c r="Z34" s="306"/>
      <c r="AA34" s="306"/>
      <c r="AB34" s="306"/>
      <c r="AC34" s="306"/>
    </row>
    <row r="35" spans="1:29" ht="14" thickBot="1" x14ac:dyDescent="0.2">
      <c r="A35" s="7"/>
      <c r="B35" s="301" t="s">
        <v>1251</v>
      </c>
      <c r="C35" s="266" t="e">
        <f>C31+C22</f>
        <v>#REF!</v>
      </c>
      <c r="D35" s="266" t="e">
        <f t="shared" ref="D35:R35" si="20">D31+D22</f>
        <v>#REF!</v>
      </c>
      <c r="E35" s="266" t="e">
        <f t="shared" si="20"/>
        <v>#REF!</v>
      </c>
      <c r="F35" s="266" t="e">
        <f t="shared" si="20"/>
        <v>#REF!</v>
      </c>
      <c r="G35" s="266" t="e">
        <f t="shared" si="20"/>
        <v>#REF!</v>
      </c>
      <c r="H35" s="266" t="e">
        <f t="shared" si="20"/>
        <v>#REF!</v>
      </c>
      <c r="I35" s="266" t="e">
        <f t="shared" si="20"/>
        <v>#REF!</v>
      </c>
      <c r="J35" s="266" t="e">
        <f t="shared" si="20"/>
        <v>#REF!</v>
      </c>
      <c r="K35" s="266" t="e">
        <f t="shared" si="20"/>
        <v>#REF!</v>
      </c>
      <c r="L35" s="266" t="e">
        <f t="shared" si="20"/>
        <v>#REF!</v>
      </c>
      <c r="M35" s="266" t="e">
        <f t="shared" si="20"/>
        <v>#REF!</v>
      </c>
      <c r="N35" s="266" t="e">
        <f t="shared" si="20"/>
        <v>#REF!</v>
      </c>
      <c r="O35" s="266" t="e">
        <f t="shared" si="20"/>
        <v>#REF!</v>
      </c>
      <c r="P35" s="266" t="e">
        <f t="shared" si="20"/>
        <v>#REF!</v>
      </c>
      <c r="Q35" s="266" t="e">
        <f t="shared" si="20"/>
        <v>#REF!</v>
      </c>
      <c r="R35" s="266" t="e">
        <f t="shared" si="20"/>
        <v>#REF!</v>
      </c>
      <c r="S35" s="266" t="e">
        <f t="shared" ref="S35:Z35" si="21">S31+S22</f>
        <v>#REF!</v>
      </c>
      <c r="T35" s="266" t="e">
        <f t="shared" si="21"/>
        <v>#REF!</v>
      </c>
      <c r="U35" s="266" t="e">
        <f t="shared" si="21"/>
        <v>#REF!</v>
      </c>
      <c r="V35" s="266" t="e">
        <f t="shared" si="21"/>
        <v>#REF!</v>
      </c>
      <c r="W35" s="266" t="e">
        <f t="shared" si="21"/>
        <v>#REF!</v>
      </c>
      <c r="X35" s="266" t="e">
        <f t="shared" si="21"/>
        <v>#REF!</v>
      </c>
      <c r="Y35" s="266" t="e">
        <f t="shared" si="21"/>
        <v>#REF!</v>
      </c>
      <c r="Z35" s="266" t="e">
        <f t="shared" si="21"/>
        <v>#REF!</v>
      </c>
      <c r="AA35" s="266" t="e">
        <f>AA31+AA22</f>
        <v>#REF!</v>
      </c>
      <c r="AB35" s="266" t="e">
        <f>AB31+AB22</f>
        <v>#REF!</v>
      </c>
      <c r="AC35" s="266" t="e">
        <f t="shared" si="2"/>
        <v>#REF!</v>
      </c>
    </row>
    <row r="36" spans="1:29" ht="14" thickBot="1" x14ac:dyDescent="0.2">
      <c r="A36" s="7"/>
      <c r="B36" s="301" t="str">
        <f>"Total Incremental Tax to Granite @ "&amp;ROUND(I9*100,2)&amp;"%"</f>
        <v>Total Incremental Tax to Granite @ 12.37%</v>
      </c>
      <c r="C36" s="266" t="e">
        <f t="shared" ref="C36:R36" si="22">C35*$I$9</f>
        <v>#REF!</v>
      </c>
      <c r="D36" s="266" t="e">
        <f t="shared" si="22"/>
        <v>#REF!</v>
      </c>
      <c r="E36" s="266" t="e">
        <f t="shared" si="22"/>
        <v>#REF!</v>
      </c>
      <c r="F36" s="266" t="e">
        <f t="shared" si="22"/>
        <v>#REF!</v>
      </c>
      <c r="G36" s="266" t="e">
        <f t="shared" si="22"/>
        <v>#REF!</v>
      </c>
      <c r="H36" s="266" t="e">
        <f t="shared" si="22"/>
        <v>#REF!</v>
      </c>
      <c r="I36" s="266" t="e">
        <f t="shared" si="22"/>
        <v>#REF!</v>
      </c>
      <c r="J36" s="266" t="e">
        <f t="shared" si="22"/>
        <v>#REF!</v>
      </c>
      <c r="K36" s="266" t="e">
        <f t="shared" si="22"/>
        <v>#REF!</v>
      </c>
      <c r="L36" s="266" t="e">
        <f t="shared" si="22"/>
        <v>#REF!</v>
      </c>
      <c r="M36" s="266" t="e">
        <f t="shared" si="22"/>
        <v>#REF!</v>
      </c>
      <c r="N36" s="266" t="e">
        <f t="shared" si="22"/>
        <v>#REF!</v>
      </c>
      <c r="O36" s="266" t="e">
        <f t="shared" si="22"/>
        <v>#REF!</v>
      </c>
      <c r="P36" s="266" t="e">
        <f t="shared" si="22"/>
        <v>#REF!</v>
      </c>
      <c r="Q36" s="266" t="e">
        <f t="shared" si="22"/>
        <v>#REF!</v>
      </c>
      <c r="R36" s="266" t="e">
        <f t="shared" si="22"/>
        <v>#REF!</v>
      </c>
      <c r="S36" s="266" t="e">
        <f t="shared" ref="S36:Z36" si="23">S35*$I$9</f>
        <v>#REF!</v>
      </c>
      <c r="T36" s="266" t="e">
        <f t="shared" si="23"/>
        <v>#REF!</v>
      </c>
      <c r="U36" s="266" t="e">
        <f t="shared" si="23"/>
        <v>#REF!</v>
      </c>
      <c r="V36" s="266" t="e">
        <f t="shared" si="23"/>
        <v>#REF!</v>
      </c>
      <c r="W36" s="266" t="e">
        <f t="shared" si="23"/>
        <v>#REF!</v>
      </c>
      <c r="X36" s="266" t="e">
        <f t="shared" si="23"/>
        <v>#REF!</v>
      </c>
      <c r="Y36" s="266" t="e">
        <f t="shared" si="23"/>
        <v>#REF!</v>
      </c>
      <c r="Z36" s="266" t="e">
        <f t="shared" si="23"/>
        <v>#REF!</v>
      </c>
      <c r="AA36" s="266" t="e">
        <f>AA35*$I$9</f>
        <v>#REF!</v>
      </c>
      <c r="AB36" s="266" t="e">
        <f>AB35*$I$9</f>
        <v>#REF!</v>
      </c>
      <c r="AC36" s="266" t="e">
        <f t="shared" si="2"/>
        <v>#REF!</v>
      </c>
    </row>
    <row r="37" spans="1:29" x14ac:dyDescent="0.15">
      <c r="C37" s="271"/>
    </row>
    <row r="38" spans="1:29" x14ac:dyDescent="0.15">
      <c r="C38" s="2"/>
      <c r="E38" s="16"/>
    </row>
    <row r="39" spans="1:29" x14ac:dyDescent="0.15">
      <c r="C39" s="7"/>
      <c r="D39" s="7"/>
      <c r="E39" s="7"/>
      <c r="F39" s="7"/>
      <c r="G39" s="7"/>
      <c r="H39" s="7"/>
      <c r="I39" s="7"/>
      <c r="J39" s="7"/>
      <c r="K39" s="7"/>
      <c r="L39" s="7"/>
      <c r="M39" s="7"/>
      <c r="N39" s="7"/>
      <c r="O39" s="7"/>
      <c r="P39" s="7"/>
      <c r="Q39" s="7"/>
      <c r="R39" s="7"/>
    </row>
    <row r="40" spans="1:29" x14ac:dyDescent="0.15">
      <c r="C40" s="2"/>
    </row>
    <row r="41" spans="1:29" x14ac:dyDescent="0.15">
      <c r="C41" s="2"/>
      <c r="E41" s="16"/>
      <c r="F41" s="7"/>
    </row>
    <row r="42" spans="1:29" x14ac:dyDescent="0.15">
      <c r="C42" s="2"/>
      <c r="E42" s="16"/>
      <c r="K42" s="27"/>
    </row>
    <row r="43" spans="1:29" x14ac:dyDescent="0.15">
      <c r="C43" s="2"/>
      <c r="E43" s="16"/>
    </row>
    <row r="44" spans="1:29" x14ac:dyDescent="0.15">
      <c r="C44" s="2"/>
    </row>
    <row r="45" spans="1:29" x14ac:dyDescent="0.15">
      <c r="C45" s="2"/>
    </row>
    <row r="48" spans="1:29" x14ac:dyDescent="0.15">
      <c r="C48" s="272"/>
    </row>
    <row r="49" spans="3:4" x14ac:dyDescent="0.15">
      <c r="C49" s="7"/>
      <c r="D49" s="2"/>
    </row>
    <row r="50" spans="3:4" x14ac:dyDescent="0.15">
      <c r="C50" s="27"/>
      <c r="D50" s="2"/>
    </row>
    <row r="51" spans="3:4" x14ac:dyDescent="0.15">
      <c r="C51" s="7"/>
      <c r="D51" s="2"/>
    </row>
    <row r="52" spans="3:4" x14ac:dyDescent="0.15">
      <c r="C52" s="2"/>
      <c r="D52" s="2"/>
    </row>
    <row r="53" spans="3:4" x14ac:dyDescent="0.15">
      <c r="C53" s="2"/>
      <c r="D53" s="2"/>
    </row>
    <row r="54" spans="3:4" x14ac:dyDescent="0.15">
      <c r="C54" s="2"/>
      <c r="D54" s="2"/>
    </row>
    <row r="55" spans="3:4" x14ac:dyDescent="0.15">
      <c r="C55" s="2"/>
      <c r="D55" s="2"/>
    </row>
  </sheetData>
  <mergeCells count="1">
    <mergeCell ref="B7:C7"/>
  </mergeCells>
  <printOptions horizontalCentered="1"/>
  <pageMargins left="0.4" right="0.31" top="0.28000000000000003" bottom="0.28999999999999998" header="0.18" footer="0.17"/>
  <pageSetup paperSize="3" scale="89" orientation="landscape" r:id="rId1"/>
  <headerFooter alignWithMargins="0">
    <oddFooter>&amp;R&amp;Z
&amp;F</oddFoot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A13" sqref="A13"/>
    </sheetView>
  </sheetViews>
  <sheetFormatPr baseColWidth="10" defaultColWidth="8.83203125" defaultRowHeight="13" x14ac:dyDescent="0.15"/>
  <cols>
    <col min="1" max="1" width="18.5" style="293" customWidth="1"/>
    <col min="2" max="2" width="11.5" style="293" customWidth="1"/>
    <col min="3" max="3" width="12" style="293" customWidth="1"/>
    <col min="4" max="4" width="11.83203125" style="293" customWidth="1"/>
    <col min="5" max="5" width="11.6640625" style="293" customWidth="1"/>
    <col min="6" max="16384" width="8.83203125" style="293"/>
  </cols>
  <sheetData>
    <row r="1" spans="1:5" x14ac:dyDescent="0.15">
      <c r="A1" s="299" t="s">
        <v>1367</v>
      </c>
    </row>
    <row r="2" spans="1:5" x14ac:dyDescent="0.15">
      <c r="A2" s="299"/>
    </row>
    <row r="3" spans="1:5" x14ac:dyDescent="0.15">
      <c r="A3" s="299" t="s">
        <v>1368</v>
      </c>
    </row>
    <row r="4" spans="1:5" x14ac:dyDescent="0.15">
      <c r="A4" s="817"/>
      <c r="B4" s="818">
        <v>2012</v>
      </c>
      <c r="C4" s="817">
        <v>2011</v>
      </c>
      <c r="D4" s="817">
        <v>2010</v>
      </c>
      <c r="E4" s="817">
        <v>2009</v>
      </c>
    </row>
    <row r="5" spans="1:5" x14ac:dyDescent="0.15">
      <c r="A5" s="293" t="s">
        <v>1369</v>
      </c>
      <c r="B5" s="816">
        <v>26552469</v>
      </c>
      <c r="C5" s="816">
        <v>26388003</v>
      </c>
      <c r="D5" s="816">
        <v>26106135</v>
      </c>
      <c r="E5" s="816">
        <v>25937853</v>
      </c>
    </row>
    <row r="6" spans="1:5" x14ac:dyDescent="0.15">
      <c r="A6" s="293" t="s">
        <v>1371</v>
      </c>
      <c r="B6" s="816">
        <f>B5-C5</f>
        <v>164466</v>
      </c>
      <c r="C6" s="816">
        <f>C5-D5</f>
        <v>281868</v>
      </c>
      <c r="D6" s="816">
        <f>D5-E5</f>
        <v>168282</v>
      </c>
      <c r="E6" s="816"/>
    </row>
    <row r="9" spans="1:5" x14ac:dyDescent="0.15">
      <c r="A9" s="299" t="s">
        <v>1370</v>
      </c>
    </row>
    <row r="10" spans="1:5" x14ac:dyDescent="0.15">
      <c r="A10" s="817"/>
      <c r="B10" s="818">
        <v>2012</v>
      </c>
      <c r="C10" s="817">
        <v>2011</v>
      </c>
      <c r="D10" s="817">
        <v>2010</v>
      </c>
      <c r="E10" s="817">
        <v>2009</v>
      </c>
    </row>
    <row r="11" spans="1:5" x14ac:dyDescent="0.15">
      <c r="A11" s="293" t="s">
        <v>1369</v>
      </c>
      <c r="B11" s="816">
        <v>2552553</v>
      </c>
      <c r="C11" s="816">
        <v>2557317</v>
      </c>
      <c r="D11" s="816">
        <v>2553930</v>
      </c>
      <c r="E11" s="816">
        <v>2518330</v>
      </c>
    </row>
    <row r="12" spans="1:5" x14ac:dyDescent="0.15">
      <c r="A12" s="293" t="s">
        <v>1371</v>
      </c>
      <c r="B12" s="816">
        <f>B11-C11</f>
        <v>-4764</v>
      </c>
      <c r="C12" s="816">
        <f>C11-D11</f>
        <v>3387</v>
      </c>
      <c r="D12" s="816">
        <f>D11-E11</f>
        <v>35600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59999389629810485"/>
    <pageSetUpPr fitToPage="1"/>
  </sheetPr>
  <dimension ref="A1:S260"/>
  <sheetViews>
    <sheetView showGridLines="0" workbookViewId="0">
      <pane ySplit="5" topLeftCell="A235" activePane="bottomLeft" state="frozen"/>
      <selection activeCell="P13" sqref="P13:P19"/>
      <selection pane="bottomLeft" activeCell="N250" sqref="N250"/>
    </sheetView>
  </sheetViews>
  <sheetFormatPr baseColWidth="10" defaultColWidth="8.83203125" defaultRowHeight="13" outlineLevelRow="1" outlineLevelCol="2" x14ac:dyDescent="0.15"/>
  <cols>
    <col min="1" max="1" width="13.5" customWidth="1"/>
    <col min="2" max="2" width="29.1640625" customWidth="1"/>
    <col min="3" max="3" width="37" style="882" hidden="1" customWidth="1" outlineLevel="1"/>
    <col min="4" max="4" width="31.5" style="882" hidden="1" customWidth="1" outlineLevel="1"/>
    <col min="5" max="5" width="12" style="882" hidden="1" customWidth="1" outlineLevel="1"/>
    <col min="6" max="6" width="13.5" style="882" hidden="1" customWidth="1" outlineLevel="1"/>
    <col min="7" max="7" width="3.83203125" style="882" hidden="1" customWidth="1" outlineLevel="1"/>
    <col min="8" max="8" width="4.5" style="882" hidden="1" customWidth="1" outlineLevel="1"/>
    <col min="9" max="9" width="8.5" customWidth="1" collapsed="1"/>
    <col min="10" max="10" width="10.1640625" style="882" customWidth="1" outlineLevel="2"/>
    <col min="11" max="11" width="10" style="882" customWidth="1" outlineLevel="2"/>
    <col min="12" max="12" width="11.33203125" customWidth="1" outlineLevel="1"/>
    <col min="13" max="13" width="11.33203125" style="882" customWidth="1" outlineLevel="1"/>
    <col min="14" max="14" width="11.33203125" customWidth="1" outlineLevel="1"/>
    <col min="15" max="15" width="11.33203125" style="882" customWidth="1" outlineLevel="1"/>
    <col min="16" max="16" width="9.1640625" customWidth="1" outlineLevel="1"/>
    <col min="17" max="17" width="8.83203125" style="1076"/>
    <col min="18" max="18" width="10.33203125" bestFit="1" customWidth="1"/>
  </cols>
  <sheetData>
    <row r="1" spans="1:19" ht="20" x14ac:dyDescent="0.2">
      <c r="B1" s="353">
        <v>43560</v>
      </c>
      <c r="C1" s="353"/>
      <c r="D1" s="989" t="str">
        <f>'D.1 - Sales Tax Revenues'!B1</f>
        <v>Millcreek Community Reinvestment Agency</v>
      </c>
      <c r="E1" s="353"/>
      <c r="F1" s="353"/>
      <c r="G1" s="353"/>
      <c r="H1" s="353"/>
    </row>
    <row r="2" spans="1:19" s="882" customFormat="1" x14ac:dyDescent="0.15">
      <c r="B2" s="353"/>
      <c r="C2" s="353"/>
      <c r="D2" s="990" t="str">
        <f>'D.1 - Sales Tax Revenues'!B2</f>
        <v>Millcreek Center CRA</v>
      </c>
      <c r="E2" s="353"/>
      <c r="F2" s="353"/>
      <c r="G2" s="353"/>
      <c r="H2" s="353"/>
      <c r="Q2" s="1076"/>
    </row>
    <row r="3" spans="1:19" s="882" customFormat="1" x14ac:dyDescent="0.15">
      <c r="B3" s="353"/>
      <c r="C3" s="353"/>
      <c r="D3" s="353"/>
      <c r="E3" s="353"/>
      <c r="F3" s="353"/>
      <c r="G3" s="353"/>
      <c r="H3" s="353"/>
      <c r="Q3" s="1076"/>
    </row>
    <row r="4" spans="1:19" x14ac:dyDescent="0.15">
      <c r="A4" s="859" t="s">
        <v>1472</v>
      </c>
      <c r="B4" s="883"/>
      <c r="C4" s="883"/>
      <c r="D4" s="883"/>
      <c r="E4" s="883"/>
      <c r="F4" s="883"/>
      <c r="G4" s="883"/>
      <c r="H4" s="883"/>
      <c r="I4" s="960"/>
      <c r="J4" s="883"/>
      <c r="K4" s="883"/>
      <c r="L4" s="853"/>
      <c r="M4" s="883"/>
      <c r="N4" s="853"/>
      <c r="O4" s="883"/>
      <c r="P4" s="860"/>
      <c r="Q4" s="1091"/>
    </row>
    <row r="5" spans="1:19" x14ac:dyDescent="0.15">
      <c r="A5" s="861" t="s">
        <v>1380</v>
      </c>
      <c r="B5" s="884" t="s">
        <v>1381</v>
      </c>
      <c r="C5" s="884" t="s">
        <v>1451</v>
      </c>
      <c r="D5" s="884" t="s">
        <v>1449</v>
      </c>
      <c r="E5" s="884" t="s">
        <v>1450</v>
      </c>
      <c r="F5" s="884" t="s">
        <v>430</v>
      </c>
      <c r="G5" s="884" t="s">
        <v>1384</v>
      </c>
      <c r="H5" s="884" t="s">
        <v>1447</v>
      </c>
      <c r="I5" s="961" t="s">
        <v>33</v>
      </c>
      <c r="J5" s="884" t="s">
        <v>1387</v>
      </c>
      <c r="K5" s="885" t="s">
        <v>1208</v>
      </c>
      <c r="L5" s="855" t="s">
        <v>1382</v>
      </c>
      <c r="M5" s="885" t="s">
        <v>1446</v>
      </c>
      <c r="N5" s="854" t="s">
        <v>1383</v>
      </c>
      <c r="O5" s="884" t="s">
        <v>1448</v>
      </c>
      <c r="P5" s="862" t="s">
        <v>1354</v>
      </c>
      <c r="Q5" s="1089" t="s">
        <v>1868</v>
      </c>
    </row>
    <row r="6" spans="1:19" s="882" customFormat="1" x14ac:dyDescent="0.15">
      <c r="A6" s="1102" t="s">
        <v>1610</v>
      </c>
      <c r="B6" s="574" t="s">
        <v>1816</v>
      </c>
      <c r="C6" s="574"/>
      <c r="D6" s="574"/>
      <c r="E6" s="574"/>
      <c r="F6" s="574"/>
      <c r="G6" s="574"/>
      <c r="H6" s="574"/>
      <c r="I6" s="971">
        <v>0.52</v>
      </c>
      <c r="J6" s="886">
        <v>409900</v>
      </c>
      <c r="K6" s="886">
        <v>177300</v>
      </c>
      <c r="L6" s="886">
        <f t="shared" ref="L6:L45" si="0">SUM(J6:K6)</f>
        <v>587200</v>
      </c>
      <c r="M6" s="630">
        <v>1</v>
      </c>
      <c r="N6" s="886">
        <f t="shared" ref="N6:N45" si="1">L6*M6</f>
        <v>587200</v>
      </c>
      <c r="O6" s="886" t="s">
        <v>41</v>
      </c>
      <c r="P6" s="1088" t="s">
        <v>1863</v>
      </c>
      <c r="Q6" s="1090">
        <v>1</v>
      </c>
      <c r="R6" s="771">
        <v>711</v>
      </c>
      <c r="S6" s="984"/>
    </row>
    <row r="7" spans="1:19" s="1076" customFormat="1" x14ac:dyDescent="0.15">
      <c r="A7" s="1102" t="s">
        <v>1664</v>
      </c>
      <c r="B7" s="975" t="s">
        <v>1740</v>
      </c>
      <c r="C7" s="975"/>
      <c r="D7" s="975"/>
      <c r="E7" s="975"/>
      <c r="F7" s="975"/>
      <c r="G7" s="975"/>
      <c r="H7" s="975"/>
      <c r="I7" s="971">
        <v>0.38</v>
      </c>
      <c r="J7" s="886">
        <v>240600</v>
      </c>
      <c r="K7" s="886">
        <v>384300</v>
      </c>
      <c r="L7" s="886">
        <f t="shared" si="0"/>
        <v>624900</v>
      </c>
      <c r="M7" s="630">
        <v>1</v>
      </c>
      <c r="N7" s="886">
        <f t="shared" si="1"/>
        <v>624900</v>
      </c>
      <c r="O7" s="886" t="s">
        <v>1360</v>
      </c>
      <c r="P7" s="1088" t="str">
        <f t="shared" ref="P7:P47" si="2">P6</f>
        <v>ACP</v>
      </c>
      <c r="Q7" s="1090">
        <v>1</v>
      </c>
      <c r="R7" s="771" t="s">
        <v>1928</v>
      </c>
      <c r="S7" s="984"/>
    </row>
    <row r="8" spans="1:19" s="1076" customFormat="1" x14ac:dyDescent="0.15">
      <c r="A8" s="1102" t="s">
        <v>1641</v>
      </c>
      <c r="B8" s="975" t="s">
        <v>1827</v>
      </c>
      <c r="C8" s="975"/>
      <c r="D8" s="975"/>
      <c r="E8" s="975"/>
      <c r="F8" s="975"/>
      <c r="G8" s="975"/>
      <c r="H8" s="975"/>
      <c r="I8" s="971">
        <v>0.44</v>
      </c>
      <c r="J8" s="886">
        <v>265700</v>
      </c>
      <c r="K8" s="886">
        <v>0</v>
      </c>
      <c r="L8" s="886">
        <f t="shared" si="0"/>
        <v>265700</v>
      </c>
      <c r="M8" s="630">
        <v>0</v>
      </c>
      <c r="N8" s="886">
        <f t="shared" si="1"/>
        <v>0</v>
      </c>
      <c r="O8" s="886" t="s">
        <v>1930</v>
      </c>
      <c r="P8" s="1088" t="str">
        <f t="shared" si="2"/>
        <v>ACP</v>
      </c>
      <c r="Q8" s="1090">
        <v>1</v>
      </c>
      <c r="R8" s="771" t="s">
        <v>1929</v>
      </c>
      <c r="S8" s="984"/>
    </row>
    <row r="9" spans="1:19" s="1076" customFormat="1" x14ac:dyDescent="0.15">
      <c r="A9" s="1102" t="s">
        <v>1632</v>
      </c>
      <c r="B9" s="975" t="s">
        <v>1827</v>
      </c>
      <c r="C9" s="975"/>
      <c r="D9" s="975"/>
      <c r="E9" s="975"/>
      <c r="F9" s="975"/>
      <c r="G9" s="975"/>
      <c r="H9" s="975"/>
      <c r="I9" s="971">
        <v>0.44</v>
      </c>
      <c r="J9" s="886">
        <v>265700</v>
      </c>
      <c r="K9" s="886">
        <v>1212600</v>
      </c>
      <c r="L9" s="886">
        <f t="shared" si="0"/>
        <v>1478300</v>
      </c>
      <c r="M9" s="630">
        <v>0</v>
      </c>
      <c r="N9" s="886">
        <f t="shared" si="1"/>
        <v>0</v>
      </c>
      <c r="O9" s="886" t="s">
        <v>1930</v>
      </c>
      <c r="P9" s="1088" t="str">
        <f t="shared" si="2"/>
        <v>ACP</v>
      </c>
      <c r="Q9" s="1090">
        <v>1</v>
      </c>
      <c r="R9" s="771" t="s">
        <v>1929</v>
      </c>
      <c r="S9" s="984"/>
    </row>
    <row r="10" spans="1:19" s="1076" customFormat="1" x14ac:dyDescent="0.15">
      <c r="A10" s="1102" t="s">
        <v>1514</v>
      </c>
      <c r="B10" s="975" t="s">
        <v>1740</v>
      </c>
      <c r="C10" s="975"/>
      <c r="D10" s="975"/>
      <c r="E10" s="975"/>
      <c r="F10" s="975"/>
      <c r="G10" s="975"/>
      <c r="H10" s="975"/>
      <c r="I10" s="971">
        <v>7.0000000000000007E-2</v>
      </c>
      <c r="J10" s="886">
        <v>30400</v>
      </c>
      <c r="K10" s="886"/>
      <c r="L10" s="886">
        <f t="shared" si="0"/>
        <v>30400</v>
      </c>
      <c r="M10" s="630"/>
      <c r="N10" s="886">
        <f t="shared" si="1"/>
        <v>0</v>
      </c>
      <c r="O10" s="886" t="s">
        <v>1927</v>
      </c>
      <c r="P10" s="1088" t="str">
        <f t="shared" si="2"/>
        <v>ACP</v>
      </c>
      <c r="Q10" s="1090">
        <v>1</v>
      </c>
      <c r="R10" s="771" t="s">
        <v>1926</v>
      </c>
      <c r="S10" s="984"/>
    </row>
    <row r="11" spans="1:19" s="1076" customFormat="1" x14ac:dyDescent="0.15">
      <c r="A11" s="1102" t="s">
        <v>1639</v>
      </c>
      <c r="B11" s="975" t="s">
        <v>1832</v>
      </c>
      <c r="C11" s="975"/>
      <c r="D11" s="975"/>
      <c r="E11" s="975"/>
      <c r="F11" s="975"/>
      <c r="G11" s="975"/>
      <c r="H11" s="975"/>
      <c r="I11" s="971">
        <v>0.2</v>
      </c>
      <c r="J11" s="886">
        <v>146700</v>
      </c>
      <c r="K11" s="886">
        <v>78600</v>
      </c>
      <c r="L11" s="886">
        <f t="shared" si="0"/>
        <v>225300</v>
      </c>
      <c r="M11" s="630">
        <v>1</v>
      </c>
      <c r="N11" s="886">
        <f t="shared" si="1"/>
        <v>225300</v>
      </c>
      <c r="O11" s="886" t="s">
        <v>41</v>
      </c>
      <c r="P11" s="1088" t="str">
        <f t="shared" si="2"/>
        <v>ACP</v>
      </c>
      <c r="Q11" s="1090">
        <v>1</v>
      </c>
      <c r="R11" s="771" t="s">
        <v>1924</v>
      </c>
      <c r="S11" s="984"/>
    </row>
    <row r="12" spans="1:19" s="1076" customFormat="1" x14ac:dyDescent="0.15">
      <c r="A12" s="1102" t="s">
        <v>1524</v>
      </c>
      <c r="B12" s="975" t="s">
        <v>1748</v>
      </c>
      <c r="C12" s="975"/>
      <c r="D12" s="975"/>
      <c r="E12" s="975"/>
      <c r="F12" s="975"/>
      <c r="G12" s="975"/>
      <c r="H12" s="975"/>
      <c r="I12" s="971">
        <v>0.21</v>
      </c>
      <c r="J12" s="886">
        <v>149000</v>
      </c>
      <c r="K12" s="886">
        <v>247800</v>
      </c>
      <c r="L12" s="886">
        <f t="shared" si="0"/>
        <v>396800</v>
      </c>
      <c r="M12" s="630">
        <v>1</v>
      </c>
      <c r="N12" s="886">
        <f t="shared" si="1"/>
        <v>396800</v>
      </c>
      <c r="O12" s="886" t="s">
        <v>41</v>
      </c>
      <c r="P12" s="1088" t="str">
        <f t="shared" si="2"/>
        <v>ACP</v>
      </c>
      <c r="Q12" s="1090">
        <v>1</v>
      </c>
      <c r="R12" s="771" t="s">
        <v>1925</v>
      </c>
      <c r="S12" s="984"/>
    </row>
    <row r="13" spans="1:19" s="1076" customFormat="1" x14ac:dyDescent="0.15">
      <c r="A13" s="1102" t="s">
        <v>1554</v>
      </c>
      <c r="B13" s="975" t="s">
        <v>1771</v>
      </c>
      <c r="C13" s="975"/>
      <c r="D13" s="975"/>
      <c r="E13" s="975"/>
      <c r="F13" s="975"/>
      <c r="G13" s="975"/>
      <c r="H13" s="975"/>
      <c r="I13" s="971">
        <v>1.1399999999999999</v>
      </c>
      <c r="J13" s="886">
        <v>445700</v>
      </c>
      <c r="K13" s="886">
        <v>3297500</v>
      </c>
      <c r="L13" s="886">
        <f t="shared" si="0"/>
        <v>3743200</v>
      </c>
      <c r="M13" s="630">
        <v>0.55000000000000004</v>
      </c>
      <c r="N13" s="886">
        <f t="shared" si="1"/>
        <v>2058760.0000000002</v>
      </c>
      <c r="O13" s="886" t="s">
        <v>1922</v>
      </c>
      <c r="P13" s="1088" t="str">
        <f t="shared" si="2"/>
        <v>ACP</v>
      </c>
      <c r="Q13" s="1090">
        <v>1</v>
      </c>
      <c r="R13" s="771" t="s">
        <v>1923</v>
      </c>
      <c r="S13" s="984"/>
    </row>
    <row r="14" spans="1:19" s="1076" customFormat="1" x14ac:dyDescent="0.15">
      <c r="A14" s="1102" t="s">
        <v>1498</v>
      </c>
      <c r="B14" s="975" t="s">
        <v>1728</v>
      </c>
      <c r="C14" s="975"/>
      <c r="D14" s="975"/>
      <c r="E14" s="975"/>
      <c r="F14" s="975"/>
      <c r="G14" s="975"/>
      <c r="H14" s="975"/>
      <c r="I14" s="971">
        <v>0.37</v>
      </c>
      <c r="J14" s="886">
        <v>225300</v>
      </c>
      <c r="K14" s="886">
        <v>105000</v>
      </c>
      <c r="L14" s="886">
        <f t="shared" si="0"/>
        <v>330300</v>
      </c>
      <c r="M14" s="630">
        <v>1</v>
      </c>
      <c r="N14" s="886">
        <f t="shared" si="1"/>
        <v>330300</v>
      </c>
      <c r="O14" s="886" t="s">
        <v>1324</v>
      </c>
      <c r="P14" s="1088" t="str">
        <f t="shared" si="2"/>
        <v>ACP</v>
      </c>
      <c r="Q14" s="1090">
        <v>1</v>
      </c>
      <c r="R14" s="771" t="s">
        <v>1934</v>
      </c>
      <c r="S14" s="984"/>
    </row>
    <row r="15" spans="1:19" s="1076" customFormat="1" x14ac:dyDescent="0.15">
      <c r="A15" s="1102" t="s">
        <v>1552</v>
      </c>
      <c r="B15" s="975" t="s">
        <v>1769</v>
      </c>
      <c r="C15" s="975"/>
      <c r="D15" s="975"/>
      <c r="E15" s="975"/>
      <c r="F15" s="975"/>
      <c r="G15" s="975"/>
      <c r="H15" s="975"/>
      <c r="I15" s="971">
        <v>0.1</v>
      </c>
      <c r="J15" s="886">
        <v>90300</v>
      </c>
      <c r="K15" s="886">
        <v>63500</v>
      </c>
      <c r="L15" s="886">
        <f t="shared" si="0"/>
        <v>153800</v>
      </c>
      <c r="M15" s="630">
        <v>1</v>
      </c>
      <c r="N15" s="886">
        <f t="shared" si="1"/>
        <v>153800</v>
      </c>
      <c r="O15" s="886" t="s">
        <v>41</v>
      </c>
      <c r="P15" s="1088" t="str">
        <f t="shared" si="2"/>
        <v>ACP</v>
      </c>
      <c r="Q15" s="1090">
        <v>1</v>
      </c>
      <c r="R15" s="771" t="s">
        <v>1935</v>
      </c>
      <c r="S15" s="984"/>
    </row>
    <row r="16" spans="1:19" s="1076" customFormat="1" x14ac:dyDescent="0.15">
      <c r="A16" s="1102" t="s">
        <v>1541</v>
      </c>
      <c r="B16" s="975" t="s">
        <v>1761</v>
      </c>
      <c r="C16" s="975"/>
      <c r="D16" s="975"/>
      <c r="E16" s="975"/>
      <c r="F16" s="975"/>
      <c r="G16" s="975"/>
      <c r="H16" s="975"/>
      <c r="I16" s="971">
        <v>0.1</v>
      </c>
      <c r="J16" s="886">
        <v>89400</v>
      </c>
      <c r="K16" s="886">
        <v>72800</v>
      </c>
      <c r="L16" s="886">
        <f t="shared" si="0"/>
        <v>162200</v>
      </c>
      <c r="M16" s="630">
        <v>1</v>
      </c>
      <c r="N16" s="886">
        <f t="shared" si="1"/>
        <v>162200</v>
      </c>
      <c r="O16" s="886" t="s">
        <v>41</v>
      </c>
      <c r="P16" s="1088" t="str">
        <f t="shared" si="2"/>
        <v>ACP</v>
      </c>
      <c r="Q16" s="1090">
        <v>1</v>
      </c>
      <c r="R16" s="771" t="s">
        <v>1936</v>
      </c>
      <c r="S16" s="984"/>
    </row>
    <row r="17" spans="1:19" s="1076" customFormat="1" x14ac:dyDescent="0.15">
      <c r="A17" s="1102" t="s">
        <v>1683</v>
      </c>
      <c r="B17" s="975" t="s">
        <v>1855</v>
      </c>
      <c r="C17" s="975"/>
      <c r="D17" s="975"/>
      <c r="E17" s="975"/>
      <c r="F17" s="975"/>
      <c r="G17" s="975"/>
      <c r="H17" s="975"/>
      <c r="I17" s="971">
        <v>0.33</v>
      </c>
      <c r="J17" s="886">
        <v>191100</v>
      </c>
      <c r="K17" s="886">
        <v>0</v>
      </c>
      <c r="L17" s="886">
        <f t="shared" si="0"/>
        <v>191100</v>
      </c>
      <c r="M17" s="630">
        <v>1</v>
      </c>
      <c r="N17" s="886">
        <f t="shared" si="1"/>
        <v>191100</v>
      </c>
      <c r="O17" s="886" t="s">
        <v>1889</v>
      </c>
      <c r="P17" s="1088" t="str">
        <f t="shared" si="2"/>
        <v>ACP</v>
      </c>
      <c r="Q17" s="1090">
        <v>1</v>
      </c>
      <c r="R17" s="771" t="s">
        <v>1931</v>
      </c>
      <c r="S17" s="984"/>
    </row>
    <row r="18" spans="1:19" s="1076" customFormat="1" x14ac:dyDescent="0.15">
      <c r="A18" s="1102" t="s">
        <v>1689</v>
      </c>
      <c r="B18" s="975" t="s">
        <v>1855</v>
      </c>
      <c r="C18" s="975"/>
      <c r="D18" s="975"/>
      <c r="E18" s="975"/>
      <c r="F18" s="975"/>
      <c r="G18" s="975"/>
      <c r="H18" s="975"/>
      <c r="I18" s="971">
        <v>0.48</v>
      </c>
      <c r="J18" s="886">
        <v>283600</v>
      </c>
      <c r="K18" s="886">
        <v>518600</v>
      </c>
      <c r="L18" s="886">
        <f t="shared" si="0"/>
        <v>802200</v>
      </c>
      <c r="M18" s="630">
        <v>1</v>
      </c>
      <c r="N18" s="886">
        <f t="shared" si="1"/>
        <v>802200</v>
      </c>
      <c r="O18" s="886" t="s">
        <v>41</v>
      </c>
      <c r="P18" s="1088" t="str">
        <f t="shared" si="2"/>
        <v>ACP</v>
      </c>
      <c r="Q18" s="1090">
        <v>1</v>
      </c>
      <c r="R18" s="771" t="s">
        <v>1932</v>
      </c>
      <c r="S18" s="984"/>
    </row>
    <row r="19" spans="1:19" s="1076" customFormat="1" x14ac:dyDescent="0.15">
      <c r="A19" s="1102" t="s">
        <v>1487</v>
      </c>
      <c r="B19" s="975" t="s">
        <v>1717</v>
      </c>
      <c r="C19" s="975"/>
      <c r="D19" s="975"/>
      <c r="E19" s="975"/>
      <c r="F19" s="975"/>
      <c r="G19" s="975"/>
      <c r="H19" s="975"/>
      <c r="I19" s="971">
        <v>0.37</v>
      </c>
      <c r="J19" s="886">
        <v>225300</v>
      </c>
      <c r="K19" s="886">
        <v>383300</v>
      </c>
      <c r="L19" s="886">
        <f t="shared" si="0"/>
        <v>608600</v>
      </c>
      <c r="M19" s="630">
        <v>1</v>
      </c>
      <c r="N19" s="886">
        <f t="shared" si="1"/>
        <v>608600</v>
      </c>
      <c r="O19" s="886" t="s">
        <v>1324</v>
      </c>
      <c r="P19" s="1088" t="str">
        <f t="shared" si="2"/>
        <v>ACP</v>
      </c>
      <c r="Q19" s="1090">
        <v>1</v>
      </c>
      <c r="R19" s="771" t="s">
        <v>1933</v>
      </c>
      <c r="S19" s="984"/>
    </row>
    <row r="20" spans="1:19" s="1076" customFormat="1" x14ac:dyDescent="0.15">
      <c r="A20" s="1102" t="s">
        <v>1481</v>
      </c>
      <c r="B20" s="975" t="s">
        <v>1711</v>
      </c>
      <c r="C20" s="975"/>
      <c r="D20" s="975"/>
      <c r="E20" s="975"/>
      <c r="F20" s="975"/>
      <c r="G20" s="975"/>
      <c r="H20" s="975"/>
      <c r="I20" s="971">
        <v>0.2</v>
      </c>
      <c r="J20" s="886">
        <v>175700</v>
      </c>
      <c r="K20" s="886">
        <v>124900</v>
      </c>
      <c r="L20" s="886">
        <f t="shared" si="0"/>
        <v>300600</v>
      </c>
      <c r="M20" s="630">
        <v>1</v>
      </c>
      <c r="N20" s="886">
        <f t="shared" si="1"/>
        <v>300600</v>
      </c>
      <c r="O20" s="886" t="s">
        <v>41</v>
      </c>
      <c r="P20" s="1088" t="str">
        <f t="shared" si="2"/>
        <v>ACP</v>
      </c>
      <c r="Q20" s="1090">
        <v>1</v>
      </c>
      <c r="R20" s="771" t="s">
        <v>1951</v>
      </c>
      <c r="S20" s="984"/>
    </row>
    <row r="21" spans="1:19" s="1076" customFormat="1" x14ac:dyDescent="0.15">
      <c r="A21" s="1102" t="s">
        <v>1490</v>
      </c>
      <c r="B21" s="975" t="s">
        <v>1719</v>
      </c>
      <c r="C21" s="975"/>
      <c r="D21" s="975"/>
      <c r="E21" s="975"/>
      <c r="F21" s="975"/>
      <c r="G21" s="975"/>
      <c r="H21" s="975"/>
      <c r="I21" s="971">
        <v>0.25</v>
      </c>
      <c r="J21" s="886">
        <v>153200</v>
      </c>
      <c r="K21" s="886">
        <v>0</v>
      </c>
      <c r="L21" s="886">
        <f t="shared" si="0"/>
        <v>153200</v>
      </c>
      <c r="M21" s="630">
        <v>1</v>
      </c>
      <c r="N21" s="886">
        <f t="shared" si="1"/>
        <v>153200</v>
      </c>
      <c r="O21" s="886" t="s">
        <v>41</v>
      </c>
      <c r="P21" s="1088" t="str">
        <f t="shared" si="2"/>
        <v>ACP</v>
      </c>
      <c r="Q21" s="1090">
        <v>1</v>
      </c>
      <c r="R21" s="771" t="s">
        <v>1939</v>
      </c>
      <c r="S21" s="984"/>
    </row>
    <row r="22" spans="1:19" s="1076" customFormat="1" x14ac:dyDescent="0.15">
      <c r="A22" s="1102" t="s">
        <v>1508</v>
      </c>
      <c r="B22" s="975" t="s">
        <v>1719</v>
      </c>
      <c r="C22" s="975"/>
      <c r="D22" s="975"/>
      <c r="E22" s="975"/>
      <c r="F22" s="975"/>
      <c r="G22" s="975"/>
      <c r="H22" s="975"/>
      <c r="I22" s="971">
        <v>0.28000000000000003</v>
      </c>
      <c r="J22" s="886">
        <v>198400</v>
      </c>
      <c r="K22" s="886">
        <v>140100</v>
      </c>
      <c r="L22" s="886">
        <f t="shared" si="0"/>
        <v>338500</v>
      </c>
      <c r="M22" s="630">
        <v>1</v>
      </c>
      <c r="N22" s="886">
        <f t="shared" si="1"/>
        <v>338500</v>
      </c>
      <c r="O22" s="886" t="s">
        <v>41</v>
      </c>
      <c r="P22" s="1088" t="str">
        <f t="shared" si="2"/>
        <v>ACP</v>
      </c>
      <c r="Q22" s="1090">
        <v>1</v>
      </c>
      <c r="R22" s="771" t="s">
        <v>1939</v>
      </c>
      <c r="S22" s="984"/>
    </row>
    <row r="23" spans="1:19" s="1076" customFormat="1" x14ac:dyDescent="0.15">
      <c r="A23" s="1102" t="s">
        <v>1506</v>
      </c>
      <c r="B23" s="975" t="s">
        <v>1736</v>
      </c>
      <c r="C23" s="975"/>
      <c r="D23" s="975"/>
      <c r="E23" s="975"/>
      <c r="F23" s="975"/>
      <c r="G23" s="975"/>
      <c r="H23" s="975"/>
      <c r="I23" s="971">
        <v>0.38</v>
      </c>
      <c r="J23" s="886">
        <v>152500</v>
      </c>
      <c r="K23" s="886">
        <v>7900</v>
      </c>
      <c r="L23" s="886">
        <f t="shared" si="0"/>
        <v>160400</v>
      </c>
      <c r="M23" s="630">
        <v>1</v>
      </c>
      <c r="N23" s="886">
        <f t="shared" si="1"/>
        <v>160400</v>
      </c>
      <c r="O23" s="886" t="s">
        <v>1889</v>
      </c>
      <c r="P23" s="1088" t="str">
        <f t="shared" si="2"/>
        <v>ACP</v>
      </c>
      <c r="Q23" s="1090">
        <v>1</v>
      </c>
      <c r="R23" s="771" t="s">
        <v>1941</v>
      </c>
      <c r="S23" s="984"/>
    </row>
    <row r="24" spans="1:19" s="1076" customFormat="1" x14ac:dyDescent="0.15">
      <c r="A24" s="1102" t="s">
        <v>1670</v>
      </c>
      <c r="B24" s="975" t="s">
        <v>1847</v>
      </c>
      <c r="C24" s="975"/>
      <c r="D24" s="975"/>
      <c r="E24" s="975"/>
      <c r="F24" s="975"/>
      <c r="G24" s="975"/>
      <c r="H24" s="975"/>
      <c r="I24" s="971">
        <v>0.26</v>
      </c>
      <c r="J24" s="886">
        <v>103200</v>
      </c>
      <c r="K24" s="886">
        <v>79900</v>
      </c>
      <c r="L24" s="886">
        <f t="shared" si="0"/>
        <v>183100</v>
      </c>
      <c r="M24" s="630">
        <v>1</v>
      </c>
      <c r="N24" s="886">
        <f t="shared" si="1"/>
        <v>183100</v>
      </c>
      <c r="O24" s="886" t="s">
        <v>41</v>
      </c>
      <c r="P24" s="1088" t="str">
        <f t="shared" si="2"/>
        <v>ACP</v>
      </c>
      <c r="Q24" s="1090">
        <v>1</v>
      </c>
      <c r="R24" s="771" t="s">
        <v>1942</v>
      </c>
      <c r="S24" s="984"/>
    </row>
    <row r="25" spans="1:19" s="1076" customFormat="1" x14ac:dyDescent="0.15">
      <c r="A25" s="1102" t="s">
        <v>1628</v>
      </c>
      <c r="B25" s="975" t="s">
        <v>1754</v>
      </c>
      <c r="C25" s="975"/>
      <c r="D25" s="975"/>
      <c r="E25" s="975"/>
      <c r="F25" s="975"/>
      <c r="G25" s="975"/>
      <c r="H25" s="975"/>
      <c r="I25" s="971">
        <v>0.01</v>
      </c>
      <c r="J25" s="886">
        <v>1000</v>
      </c>
      <c r="K25" s="886">
        <v>0</v>
      </c>
      <c r="L25" s="886">
        <f t="shared" si="0"/>
        <v>1000</v>
      </c>
      <c r="M25" s="630">
        <v>1</v>
      </c>
      <c r="N25" s="886">
        <f t="shared" si="1"/>
        <v>1000</v>
      </c>
      <c r="O25" s="886" t="s">
        <v>1940</v>
      </c>
      <c r="P25" s="1088" t="str">
        <f t="shared" si="2"/>
        <v>ACP</v>
      </c>
      <c r="Q25" s="1090">
        <v>1</v>
      </c>
      <c r="R25" s="771" t="s">
        <v>1947</v>
      </c>
      <c r="S25" s="984"/>
    </row>
    <row r="26" spans="1:19" s="1076" customFormat="1" x14ac:dyDescent="0.15">
      <c r="A26" s="1102" t="s">
        <v>1531</v>
      </c>
      <c r="B26" s="975" t="s">
        <v>1754</v>
      </c>
      <c r="C26" s="975"/>
      <c r="D26" s="975"/>
      <c r="E26" s="975"/>
      <c r="F26" s="975"/>
      <c r="G26" s="975"/>
      <c r="H26" s="975"/>
      <c r="I26" s="971">
        <v>0.52</v>
      </c>
      <c r="J26" s="886">
        <v>311100</v>
      </c>
      <c r="K26" s="886">
        <v>134600</v>
      </c>
      <c r="L26" s="886">
        <f t="shared" si="0"/>
        <v>445700</v>
      </c>
      <c r="M26" s="630">
        <v>1</v>
      </c>
      <c r="N26" s="886">
        <f t="shared" si="1"/>
        <v>445700</v>
      </c>
      <c r="O26" s="886" t="s">
        <v>1324</v>
      </c>
      <c r="P26" s="1088" t="str">
        <f t="shared" si="2"/>
        <v>ACP</v>
      </c>
      <c r="Q26" s="1090">
        <v>1</v>
      </c>
      <c r="R26" s="771" t="s">
        <v>1946</v>
      </c>
      <c r="S26" s="984"/>
    </row>
    <row r="27" spans="1:19" s="1076" customFormat="1" x14ac:dyDescent="0.15">
      <c r="A27" s="1102" t="s">
        <v>1667</v>
      </c>
      <c r="B27" s="975" t="s">
        <v>1754</v>
      </c>
      <c r="C27" s="975"/>
      <c r="D27" s="975"/>
      <c r="E27" s="975"/>
      <c r="F27" s="975"/>
      <c r="G27" s="975"/>
      <c r="H27" s="975"/>
      <c r="I27" s="971">
        <v>0.27</v>
      </c>
      <c r="J27" s="886">
        <v>201800</v>
      </c>
      <c r="K27" s="886">
        <v>172700</v>
      </c>
      <c r="L27" s="886">
        <f t="shared" si="0"/>
        <v>374500</v>
      </c>
      <c r="M27" s="630">
        <v>1</v>
      </c>
      <c r="N27" s="886">
        <f t="shared" si="1"/>
        <v>374500</v>
      </c>
      <c r="O27" s="886" t="s">
        <v>41</v>
      </c>
      <c r="P27" s="1088" t="str">
        <f t="shared" si="2"/>
        <v>ACP</v>
      </c>
      <c r="Q27" s="1090">
        <v>1</v>
      </c>
      <c r="R27" s="771" t="s">
        <v>1945</v>
      </c>
      <c r="S27" s="984"/>
    </row>
    <row r="28" spans="1:19" s="1076" customFormat="1" x14ac:dyDescent="0.15">
      <c r="A28" s="1102" t="s">
        <v>1547</v>
      </c>
      <c r="B28" s="975" t="s">
        <v>1765</v>
      </c>
      <c r="C28" s="975"/>
      <c r="D28" s="975"/>
      <c r="E28" s="975"/>
      <c r="F28" s="975"/>
      <c r="G28" s="975"/>
      <c r="H28" s="975"/>
      <c r="I28" s="971">
        <v>0.14000000000000001</v>
      </c>
      <c r="J28" s="886">
        <v>75100</v>
      </c>
      <c r="K28" s="886">
        <v>111500</v>
      </c>
      <c r="L28" s="886">
        <f t="shared" si="0"/>
        <v>186600</v>
      </c>
      <c r="M28" s="630">
        <v>0.55000000000000004</v>
      </c>
      <c r="N28" s="886">
        <f t="shared" si="1"/>
        <v>102630.00000000001</v>
      </c>
      <c r="O28" s="886" t="s">
        <v>1864</v>
      </c>
      <c r="P28" s="1088" t="str">
        <f t="shared" si="2"/>
        <v>ACP</v>
      </c>
      <c r="Q28" s="1090">
        <v>1</v>
      </c>
      <c r="R28" s="771" t="s">
        <v>1944</v>
      </c>
      <c r="S28" s="984"/>
    </row>
    <row r="29" spans="1:19" s="1076" customFormat="1" x14ac:dyDescent="0.15">
      <c r="A29" s="1102" t="s">
        <v>1599</v>
      </c>
      <c r="B29" s="975" t="s">
        <v>1806</v>
      </c>
      <c r="C29" s="975"/>
      <c r="D29" s="975"/>
      <c r="E29" s="975"/>
      <c r="F29" s="975"/>
      <c r="G29" s="975"/>
      <c r="H29" s="975"/>
      <c r="I29" s="971">
        <v>0.14000000000000001</v>
      </c>
      <c r="J29" s="886">
        <v>62200</v>
      </c>
      <c r="K29" s="886">
        <v>39290</v>
      </c>
      <c r="L29" s="886">
        <f t="shared" si="0"/>
        <v>101490</v>
      </c>
      <c r="M29" s="630">
        <v>0.55000000000000004</v>
      </c>
      <c r="N29" s="886">
        <f t="shared" si="1"/>
        <v>55819.500000000007</v>
      </c>
      <c r="O29" s="886" t="s">
        <v>1864</v>
      </c>
      <c r="P29" s="1088" t="str">
        <f t="shared" si="2"/>
        <v>ACP</v>
      </c>
      <c r="Q29" s="1090">
        <v>1</v>
      </c>
      <c r="R29" s="771" t="s">
        <v>1943</v>
      </c>
      <c r="S29" s="984"/>
    </row>
    <row r="30" spans="1:19" s="1076" customFormat="1" x14ac:dyDescent="0.15">
      <c r="A30" s="1102" t="s">
        <v>1657</v>
      </c>
      <c r="B30" s="975" t="s">
        <v>1719</v>
      </c>
      <c r="C30" s="975"/>
      <c r="D30" s="975"/>
      <c r="E30" s="975"/>
      <c r="F30" s="975"/>
      <c r="G30" s="975"/>
      <c r="H30" s="975"/>
      <c r="I30" s="971">
        <v>0.04</v>
      </c>
      <c r="J30" s="886">
        <v>23500</v>
      </c>
      <c r="K30" s="886">
        <v>0</v>
      </c>
      <c r="L30" s="886">
        <f t="shared" si="0"/>
        <v>23500</v>
      </c>
      <c r="M30" s="630">
        <v>1</v>
      </c>
      <c r="N30" s="886">
        <f t="shared" si="1"/>
        <v>23500</v>
      </c>
      <c r="O30" s="886" t="s">
        <v>1940</v>
      </c>
      <c r="P30" s="1088" t="str">
        <f t="shared" si="2"/>
        <v>ACP</v>
      </c>
      <c r="Q30" s="1090">
        <v>1</v>
      </c>
      <c r="R30" s="771" t="s">
        <v>1939</v>
      </c>
      <c r="S30" s="984"/>
    </row>
    <row r="31" spans="1:19" s="1076" customFormat="1" outlineLevel="1" x14ac:dyDescent="0.15">
      <c r="A31" s="1102" t="s">
        <v>1503</v>
      </c>
      <c r="B31" s="975" t="s">
        <v>1733</v>
      </c>
      <c r="C31" s="975"/>
      <c r="D31" s="975"/>
      <c r="E31" s="975"/>
      <c r="F31" s="975"/>
      <c r="G31" s="975"/>
      <c r="H31" s="975"/>
      <c r="I31" s="971">
        <v>1.48</v>
      </c>
      <c r="J31" s="886">
        <v>870500</v>
      </c>
      <c r="K31" s="886">
        <v>4415700</v>
      </c>
      <c r="L31" s="886">
        <f t="shared" si="0"/>
        <v>5286200</v>
      </c>
      <c r="M31" s="630">
        <v>1</v>
      </c>
      <c r="N31" s="886">
        <f t="shared" si="1"/>
        <v>5286200</v>
      </c>
      <c r="O31" s="886" t="s">
        <v>41</v>
      </c>
      <c r="P31" s="1088" t="str">
        <f t="shared" si="2"/>
        <v>ACP</v>
      </c>
      <c r="Q31" s="1090">
        <v>1</v>
      </c>
      <c r="R31" s="771" t="s">
        <v>1948</v>
      </c>
      <c r="S31" s="984"/>
    </row>
    <row r="32" spans="1:19" s="1076" customFormat="1" outlineLevel="1" x14ac:dyDescent="0.15">
      <c r="A32" s="1102" t="s">
        <v>1634</v>
      </c>
      <c r="B32" s="975" t="s">
        <v>1828</v>
      </c>
      <c r="C32" s="975"/>
      <c r="D32" s="975"/>
      <c r="E32" s="975"/>
      <c r="F32" s="975"/>
      <c r="G32" s="975"/>
      <c r="H32" s="975"/>
      <c r="I32" s="971">
        <v>1.01</v>
      </c>
      <c r="J32" s="886">
        <v>519100</v>
      </c>
      <c r="K32" s="886">
        <v>2561300</v>
      </c>
      <c r="L32" s="886">
        <f t="shared" si="0"/>
        <v>3080400</v>
      </c>
      <c r="M32" s="630">
        <v>0.55000000000000004</v>
      </c>
      <c r="N32" s="886">
        <f t="shared" si="1"/>
        <v>1694220.0000000002</v>
      </c>
      <c r="O32" s="886" t="s">
        <v>1873</v>
      </c>
      <c r="P32" s="1088" t="str">
        <f t="shared" si="2"/>
        <v>ACP</v>
      </c>
      <c r="Q32" s="1090">
        <v>1</v>
      </c>
      <c r="R32" s="771" t="s">
        <v>1938</v>
      </c>
      <c r="S32" s="984"/>
    </row>
    <row r="33" spans="1:19" s="1076" customFormat="1" outlineLevel="1" x14ac:dyDescent="0.15">
      <c r="A33" s="1102" t="s">
        <v>1615</v>
      </c>
      <c r="B33" s="975" t="s">
        <v>1821</v>
      </c>
      <c r="C33" s="975"/>
      <c r="D33" s="975"/>
      <c r="E33" s="975"/>
      <c r="F33" s="975"/>
      <c r="G33" s="975"/>
      <c r="H33" s="975"/>
      <c r="I33" s="971">
        <v>0.43</v>
      </c>
      <c r="J33" s="886">
        <v>204800</v>
      </c>
      <c r="K33" s="886">
        <v>242000</v>
      </c>
      <c r="L33" s="886">
        <f t="shared" si="0"/>
        <v>446800</v>
      </c>
      <c r="M33" s="630">
        <v>1</v>
      </c>
      <c r="N33" s="886">
        <f t="shared" si="1"/>
        <v>446800</v>
      </c>
      <c r="O33" s="886" t="s">
        <v>41</v>
      </c>
      <c r="P33" s="1088" t="str">
        <f t="shared" si="2"/>
        <v>ACP</v>
      </c>
      <c r="Q33" s="1090">
        <v>1</v>
      </c>
      <c r="R33" s="771" t="s">
        <v>1937</v>
      </c>
      <c r="S33" s="984"/>
    </row>
    <row r="34" spans="1:19" s="1076" customFormat="1" outlineLevel="1" x14ac:dyDescent="0.15">
      <c r="A34" s="1102" t="s">
        <v>1576</v>
      </c>
      <c r="B34" s="975" t="s">
        <v>1789</v>
      </c>
      <c r="C34" s="975"/>
      <c r="D34" s="975"/>
      <c r="E34" s="975"/>
      <c r="F34" s="975"/>
      <c r="G34" s="975"/>
      <c r="H34" s="975"/>
      <c r="I34" s="971">
        <v>0.01</v>
      </c>
      <c r="J34" s="886">
        <v>435900</v>
      </c>
      <c r="K34" s="886">
        <v>1017100</v>
      </c>
      <c r="L34" s="886">
        <f t="shared" si="0"/>
        <v>1453000</v>
      </c>
      <c r="M34" s="630">
        <v>1</v>
      </c>
      <c r="N34" s="886">
        <f t="shared" si="1"/>
        <v>1453000</v>
      </c>
      <c r="O34" s="886" t="s">
        <v>41</v>
      </c>
      <c r="P34" s="1088" t="str">
        <f t="shared" si="2"/>
        <v>ACP</v>
      </c>
      <c r="Q34" s="1090">
        <v>1</v>
      </c>
      <c r="R34" s="771" t="s">
        <v>1950</v>
      </c>
      <c r="S34" s="984"/>
    </row>
    <row r="35" spans="1:19" s="1076" customFormat="1" outlineLevel="1" x14ac:dyDescent="0.15">
      <c r="A35" s="1102" t="s">
        <v>1633</v>
      </c>
      <c r="B35" s="975" t="s">
        <v>1789</v>
      </c>
      <c r="C35" s="975"/>
      <c r="D35" s="975"/>
      <c r="E35" s="975"/>
      <c r="F35" s="975"/>
      <c r="G35" s="975"/>
      <c r="H35" s="975"/>
      <c r="I35" s="971">
        <v>0.01</v>
      </c>
      <c r="J35" s="886">
        <v>219400</v>
      </c>
      <c r="K35" s="886">
        <v>511900</v>
      </c>
      <c r="L35" s="886">
        <f t="shared" si="0"/>
        <v>731300</v>
      </c>
      <c r="M35" s="630">
        <v>1</v>
      </c>
      <c r="N35" s="886">
        <f t="shared" si="1"/>
        <v>731300</v>
      </c>
      <c r="O35" s="886" t="s">
        <v>41</v>
      </c>
      <c r="P35" s="1088" t="str">
        <f t="shared" si="2"/>
        <v>ACP</v>
      </c>
      <c r="Q35" s="1090">
        <v>1</v>
      </c>
      <c r="R35" s="771" t="s">
        <v>1950</v>
      </c>
      <c r="S35" s="984"/>
    </row>
    <row r="36" spans="1:19" s="1076" customFormat="1" outlineLevel="1" x14ac:dyDescent="0.15">
      <c r="A36" s="1102" t="s">
        <v>1578</v>
      </c>
      <c r="B36" s="975" t="s">
        <v>1790</v>
      </c>
      <c r="C36" s="975"/>
      <c r="D36" s="975"/>
      <c r="E36" s="975"/>
      <c r="F36" s="975"/>
      <c r="G36" s="975"/>
      <c r="H36" s="975"/>
      <c r="I36" s="971">
        <v>0.01</v>
      </c>
      <c r="J36" s="886">
        <v>245100</v>
      </c>
      <c r="K36" s="886">
        <v>571800</v>
      </c>
      <c r="L36" s="886">
        <f t="shared" si="0"/>
        <v>816900</v>
      </c>
      <c r="M36" s="630">
        <v>1</v>
      </c>
      <c r="N36" s="886">
        <f t="shared" si="1"/>
        <v>816900</v>
      </c>
      <c r="O36" s="886" t="s">
        <v>41</v>
      </c>
      <c r="P36" s="1088" t="str">
        <f t="shared" si="2"/>
        <v>ACP</v>
      </c>
      <c r="Q36" s="1090">
        <v>1</v>
      </c>
      <c r="R36" s="771" t="s">
        <v>1950</v>
      </c>
      <c r="S36" s="984"/>
    </row>
    <row r="37" spans="1:19" s="1076" customFormat="1" outlineLevel="1" x14ac:dyDescent="0.15">
      <c r="A37" s="1102" t="s">
        <v>1594</v>
      </c>
      <c r="B37" s="975" t="s">
        <v>1802</v>
      </c>
      <c r="C37" s="975"/>
      <c r="D37" s="975"/>
      <c r="E37" s="975"/>
      <c r="F37" s="975"/>
      <c r="G37" s="975"/>
      <c r="H37" s="975"/>
      <c r="I37" s="971">
        <v>1.08</v>
      </c>
      <c r="J37" s="886">
        <v>670400</v>
      </c>
      <c r="K37" s="886">
        <v>2727000</v>
      </c>
      <c r="L37" s="886">
        <f t="shared" si="0"/>
        <v>3397400</v>
      </c>
      <c r="M37" s="630">
        <v>0</v>
      </c>
      <c r="N37" s="886">
        <f t="shared" si="1"/>
        <v>0</v>
      </c>
      <c r="O37" s="886" t="s">
        <v>1886</v>
      </c>
      <c r="P37" s="1088" t="str">
        <f t="shared" si="2"/>
        <v>ACP</v>
      </c>
      <c r="Q37" s="1090">
        <v>1</v>
      </c>
      <c r="R37" s="771" t="s">
        <v>1949</v>
      </c>
      <c r="S37" s="984"/>
    </row>
    <row r="38" spans="1:19" s="1076" customFormat="1" outlineLevel="1" x14ac:dyDescent="0.15">
      <c r="A38" s="1102" t="s">
        <v>1656</v>
      </c>
      <c r="B38" s="975" t="s">
        <v>1708</v>
      </c>
      <c r="C38" s="975"/>
      <c r="D38" s="975"/>
      <c r="E38" s="975"/>
      <c r="F38" s="975"/>
      <c r="G38" s="975"/>
      <c r="H38" s="975"/>
      <c r="I38" s="971">
        <v>0.12</v>
      </c>
      <c r="J38" s="886">
        <v>116500</v>
      </c>
      <c r="K38" s="886">
        <v>22700</v>
      </c>
      <c r="L38" s="886">
        <f t="shared" si="0"/>
        <v>139200</v>
      </c>
      <c r="M38" s="630">
        <v>1</v>
      </c>
      <c r="N38" s="886">
        <f t="shared" si="1"/>
        <v>139200</v>
      </c>
      <c r="O38" s="886" t="s">
        <v>41</v>
      </c>
      <c r="P38" s="1088" t="str">
        <f t="shared" si="2"/>
        <v>ACP</v>
      </c>
      <c r="Q38" s="1090">
        <v>2</v>
      </c>
      <c r="R38" s="771" t="s">
        <v>1971</v>
      </c>
      <c r="S38" s="984"/>
    </row>
    <row r="39" spans="1:19" s="1076" customFormat="1" outlineLevel="1" x14ac:dyDescent="0.15">
      <c r="A39" s="1102" t="s">
        <v>1478</v>
      </c>
      <c r="B39" s="975" t="s">
        <v>1708</v>
      </c>
      <c r="C39" s="975"/>
      <c r="D39" s="975"/>
      <c r="E39" s="975"/>
      <c r="F39" s="975"/>
      <c r="G39" s="975"/>
      <c r="H39" s="975"/>
      <c r="I39" s="971">
        <v>0.33</v>
      </c>
      <c r="J39" s="886">
        <v>208500</v>
      </c>
      <c r="K39" s="886">
        <v>242200</v>
      </c>
      <c r="L39" s="886">
        <f t="shared" si="0"/>
        <v>450700</v>
      </c>
      <c r="M39" s="630">
        <v>1</v>
      </c>
      <c r="N39" s="886">
        <f t="shared" si="1"/>
        <v>450700</v>
      </c>
      <c r="O39" s="886" t="s">
        <v>41</v>
      </c>
      <c r="P39" s="1088" t="str">
        <f t="shared" si="2"/>
        <v>ACP</v>
      </c>
      <c r="Q39" s="1090">
        <v>2</v>
      </c>
      <c r="R39" s="771" t="s">
        <v>1972</v>
      </c>
      <c r="S39" s="984"/>
    </row>
    <row r="40" spans="1:19" s="1076" customFormat="1" outlineLevel="1" x14ac:dyDescent="0.15">
      <c r="A40" s="1102" t="s">
        <v>1688</v>
      </c>
      <c r="B40" s="975" t="s">
        <v>1858</v>
      </c>
      <c r="C40" s="975"/>
      <c r="D40" s="975"/>
      <c r="E40" s="975"/>
      <c r="F40" s="975"/>
      <c r="G40" s="975"/>
      <c r="H40" s="975"/>
      <c r="I40" s="971">
        <v>0.55000000000000004</v>
      </c>
      <c r="J40" s="886">
        <v>323900</v>
      </c>
      <c r="K40" s="886">
        <v>168400</v>
      </c>
      <c r="L40" s="886">
        <f t="shared" si="0"/>
        <v>492300</v>
      </c>
      <c r="M40" s="630">
        <v>1</v>
      </c>
      <c r="N40" s="886">
        <f t="shared" si="1"/>
        <v>492300</v>
      </c>
      <c r="O40" s="886" t="s">
        <v>41</v>
      </c>
      <c r="P40" s="1088" t="str">
        <f t="shared" si="2"/>
        <v>ACP</v>
      </c>
      <c r="Q40" s="1090">
        <v>2</v>
      </c>
      <c r="R40" s="771" t="s">
        <v>1973</v>
      </c>
      <c r="S40" s="984"/>
    </row>
    <row r="41" spans="1:19" s="1076" customFormat="1" outlineLevel="1" x14ac:dyDescent="0.15">
      <c r="A41" s="1102" t="s">
        <v>1694</v>
      </c>
      <c r="B41" s="975" t="s">
        <v>1861</v>
      </c>
      <c r="C41" s="975"/>
      <c r="D41" s="975"/>
      <c r="E41" s="975"/>
      <c r="F41" s="975"/>
      <c r="G41" s="975"/>
      <c r="H41" s="975"/>
      <c r="I41" s="971">
        <v>0.14000000000000001</v>
      </c>
      <c r="J41" s="886">
        <v>106900</v>
      </c>
      <c r="K41" s="886">
        <v>96900</v>
      </c>
      <c r="L41" s="886">
        <f t="shared" si="0"/>
        <v>203800</v>
      </c>
      <c r="M41" s="630">
        <v>1</v>
      </c>
      <c r="N41" s="886">
        <f t="shared" si="1"/>
        <v>203800</v>
      </c>
      <c r="O41" s="886" t="s">
        <v>41</v>
      </c>
      <c r="P41" s="1088" t="str">
        <f t="shared" si="2"/>
        <v>ACP</v>
      </c>
      <c r="Q41" s="1090">
        <v>2</v>
      </c>
      <c r="R41" s="771" t="s">
        <v>1969</v>
      </c>
      <c r="S41" s="984"/>
    </row>
    <row r="42" spans="1:19" s="1076" customFormat="1" outlineLevel="1" x14ac:dyDescent="0.15">
      <c r="A42" s="1102" t="s">
        <v>1699</v>
      </c>
      <c r="B42" s="975" t="s">
        <v>1858</v>
      </c>
      <c r="C42" s="975"/>
      <c r="D42" s="975"/>
      <c r="E42" s="975"/>
      <c r="F42" s="975"/>
      <c r="G42" s="975"/>
      <c r="H42" s="975"/>
      <c r="I42" s="971">
        <v>0.34</v>
      </c>
      <c r="J42" s="886">
        <v>147700</v>
      </c>
      <c r="K42" s="886">
        <v>188100</v>
      </c>
      <c r="L42" s="886">
        <f t="shared" si="0"/>
        <v>335800</v>
      </c>
      <c r="M42" s="630">
        <v>1</v>
      </c>
      <c r="N42" s="886">
        <f t="shared" si="1"/>
        <v>335800</v>
      </c>
      <c r="O42" s="886" t="s">
        <v>41</v>
      </c>
      <c r="P42" s="1088" t="str">
        <f t="shared" si="2"/>
        <v>ACP</v>
      </c>
      <c r="Q42" s="1090">
        <v>2</v>
      </c>
      <c r="R42" s="771" t="s">
        <v>1974</v>
      </c>
      <c r="S42" s="984"/>
    </row>
    <row r="43" spans="1:19" s="1076" customFormat="1" outlineLevel="1" x14ac:dyDescent="0.15">
      <c r="A43" s="1102" t="s">
        <v>1549</v>
      </c>
      <c r="B43" s="975" t="s">
        <v>1766</v>
      </c>
      <c r="C43" s="975"/>
      <c r="D43" s="975"/>
      <c r="E43" s="975"/>
      <c r="F43" s="975"/>
      <c r="G43" s="975"/>
      <c r="H43" s="975"/>
      <c r="I43" s="971">
        <v>0.79</v>
      </c>
      <c r="J43" s="886">
        <v>460000</v>
      </c>
      <c r="K43" s="886">
        <v>1521190</v>
      </c>
      <c r="L43" s="886">
        <f t="shared" si="0"/>
        <v>1981190</v>
      </c>
      <c r="M43" s="630">
        <v>0.80526703600000005</v>
      </c>
      <c r="N43" s="886">
        <f t="shared" si="1"/>
        <v>1595386.9990528401</v>
      </c>
      <c r="O43" s="886" t="s">
        <v>41</v>
      </c>
      <c r="P43" s="1088" t="str">
        <f t="shared" si="2"/>
        <v>ACP</v>
      </c>
      <c r="Q43" s="1090">
        <v>2</v>
      </c>
      <c r="R43" s="771" t="s">
        <v>1968</v>
      </c>
      <c r="S43" s="984"/>
    </row>
    <row r="44" spans="1:19" s="1076" customFormat="1" outlineLevel="1" x14ac:dyDescent="0.15">
      <c r="A44" s="1102" t="s">
        <v>1516</v>
      </c>
      <c r="B44" s="975" t="s">
        <v>1742</v>
      </c>
      <c r="C44" s="975"/>
      <c r="D44" s="975"/>
      <c r="E44" s="975"/>
      <c r="F44" s="975"/>
      <c r="G44" s="975"/>
      <c r="H44" s="975"/>
      <c r="I44" s="971">
        <v>0.98</v>
      </c>
      <c r="J44" s="886">
        <v>572590</v>
      </c>
      <c r="K44" s="886">
        <v>350190</v>
      </c>
      <c r="L44" s="886">
        <f t="shared" si="0"/>
        <v>922780</v>
      </c>
      <c r="M44" s="630">
        <v>1</v>
      </c>
      <c r="N44" s="886">
        <f t="shared" si="1"/>
        <v>922780</v>
      </c>
      <c r="O44" s="886" t="s">
        <v>41</v>
      </c>
      <c r="P44" s="1088" t="str">
        <f t="shared" si="2"/>
        <v>ACP</v>
      </c>
      <c r="Q44" s="1090">
        <v>2</v>
      </c>
      <c r="R44" s="771" t="s">
        <v>1966</v>
      </c>
      <c r="S44" s="984"/>
    </row>
    <row r="45" spans="1:19" s="1076" customFormat="1" outlineLevel="1" x14ac:dyDescent="0.15">
      <c r="A45" s="1102" t="s">
        <v>1581</v>
      </c>
      <c r="B45" s="975" t="s">
        <v>1793</v>
      </c>
      <c r="C45" s="975"/>
      <c r="D45" s="975"/>
      <c r="E45" s="975"/>
      <c r="F45" s="975"/>
      <c r="G45" s="975"/>
      <c r="H45" s="975"/>
      <c r="I45" s="971">
        <v>0.87</v>
      </c>
      <c r="J45" s="886">
        <v>504000</v>
      </c>
      <c r="K45" s="886">
        <v>603900</v>
      </c>
      <c r="L45" s="886">
        <f t="shared" si="0"/>
        <v>1107900</v>
      </c>
      <c r="M45" s="630">
        <v>1</v>
      </c>
      <c r="N45" s="886">
        <f t="shared" si="1"/>
        <v>1107900</v>
      </c>
      <c r="O45" s="886" t="s">
        <v>41</v>
      </c>
      <c r="P45" s="1088" t="str">
        <f t="shared" si="2"/>
        <v>ACP</v>
      </c>
      <c r="Q45" s="1090">
        <v>2</v>
      </c>
      <c r="R45" s="771" t="s">
        <v>1967</v>
      </c>
      <c r="S45" s="984"/>
    </row>
    <row r="46" spans="1:19" s="1076" customFormat="1" outlineLevel="1" x14ac:dyDescent="0.15">
      <c r="A46" s="1102" t="s">
        <v>1520</v>
      </c>
      <c r="B46" s="975" t="s">
        <v>1744</v>
      </c>
      <c r="C46" s="975"/>
      <c r="D46" s="975"/>
      <c r="E46" s="975"/>
      <c r="F46" s="975"/>
      <c r="G46" s="975"/>
      <c r="H46" s="975"/>
      <c r="I46" s="971">
        <v>0.92</v>
      </c>
      <c r="J46" s="886">
        <v>771600</v>
      </c>
      <c r="K46" s="886">
        <v>1100</v>
      </c>
      <c r="L46" s="886">
        <f t="shared" ref="L46:L66" si="3">SUM(J46:K46)</f>
        <v>772700</v>
      </c>
      <c r="M46" s="630">
        <v>1</v>
      </c>
      <c r="N46" s="886">
        <f t="shared" ref="N46:N66" si="4">L46*M46</f>
        <v>772700</v>
      </c>
      <c r="O46" s="886" t="s">
        <v>41</v>
      </c>
      <c r="P46" s="1088" t="str">
        <f t="shared" si="2"/>
        <v>ACP</v>
      </c>
      <c r="Q46" s="1090">
        <v>2</v>
      </c>
      <c r="R46" s="771" t="s">
        <v>1970</v>
      </c>
      <c r="S46" s="984"/>
    </row>
    <row r="47" spans="1:19" s="1076" customFormat="1" outlineLevel="1" x14ac:dyDescent="0.15">
      <c r="A47" s="1102" t="s">
        <v>1616</v>
      </c>
      <c r="B47" s="975" t="s">
        <v>1749</v>
      </c>
      <c r="C47" s="975"/>
      <c r="D47" s="975"/>
      <c r="E47" s="975"/>
      <c r="F47" s="975"/>
      <c r="G47" s="975"/>
      <c r="H47" s="975"/>
      <c r="I47" s="971">
        <v>0.64</v>
      </c>
      <c r="J47" s="886">
        <v>369200</v>
      </c>
      <c r="K47" s="886">
        <v>16200</v>
      </c>
      <c r="L47" s="886">
        <f t="shared" si="3"/>
        <v>385400</v>
      </c>
      <c r="M47" s="630">
        <v>1</v>
      </c>
      <c r="N47" s="886">
        <f t="shared" si="4"/>
        <v>385400</v>
      </c>
      <c r="O47" s="886" t="s">
        <v>41</v>
      </c>
      <c r="P47" s="1088" t="str">
        <f t="shared" si="2"/>
        <v>ACP</v>
      </c>
      <c r="Q47" s="1090">
        <v>2</v>
      </c>
      <c r="R47" s="771"/>
      <c r="S47" s="984"/>
    </row>
    <row r="48" spans="1:19" s="1076" customFormat="1" outlineLevel="1" x14ac:dyDescent="0.15">
      <c r="A48" s="1102" t="s">
        <v>1680</v>
      </c>
      <c r="B48" s="975" t="s">
        <v>1749</v>
      </c>
      <c r="C48" s="975"/>
      <c r="D48" s="975"/>
      <c r="E48" s="975"/>
      <c r="F48" s="975"/>
      <c r="G48" s="975"/>
      <c r="H48" s="975"/>
      <c r="I48" s="971">
        <v>0.17</v>
      </c>
      <c r="J48" s="886">
        <v>123700</v>
      </c>
      <c r="K48" s="886">
        <v>8400</v>
      </c>
      <c r="L48" s="886">
        <f t="shared" si="3"/>
        <v>132100</v>
      </c>
      <c r="M48" s="630">
        <v>1</v>
      </c>
      <c r="N48" s="886">
        <f t="shared" si="4"/>
        <v>132100</v>
      </c>
      <c r="O48" s="886" t="s">
        <v>1964</v>
      </c>
      <c r="P48" s="1088" t="str">
        <f t="shared" ref="P48:P83" si="5">P47</f>
        <v>ACP</v>
      </c>
      <c r="Q48" s="1090">
        <v>2</v>
      </c>
      <c r="R48" s="771" t="s">
        <v>1965</v>
      </c>
      <c r="S48" s="984"/>
    </row>
    <row r="49" spans="1:19" s="1076" customFormat="1" outlineLevel="1" x14ac:dyDescent="0.15">
      <c r="A49" s="1102" t="s">
        <v>1619</v>
      </c>
      <c r="B49" s="975" t="s">
        <v>1749</v>
      </c>
      <c r="C49" s="975"/>
      <c r="D49" s="975"/>
      <c r="E49" s="975"/>
      <c r="F49" s="975"/>
      <c r="G49" s="975"/>
      <c r="H49" s="975"/>
      <c r="I49" s="971">
        <v>1.1299999999999999</v>
      </c>
      <c r="J49" s="886">
        <v>540900</v>
      </c>
      <c r="K49" s="886">
        <v>97300</v>
      </c>
      <c r="L49" s="886">
        <f t="shared" si="3"/>
        <v>638200</v>
      </c>
      <c r="M49" s="630">
        <v>1</v>
      </c>
      <c r="N49" s="886">
        <f t="shared" si="4"/>
        <v>638200</v>
      </c>
      <c r="O49" s="886" t="s">
        <v>41</v>
      </c>
      <c r="P49" s="1088" t="str">
        <f t="shared" si="5"/>
        <v>ACP</v>
      </c>
      <c r="Q49" s="1090">
        <v>2</v>
      </c>
      <c r="R49" s="771" t="s">
        <v>1963</v>
      </c>
      <c r="S49" s="984"/>
    </row>
    <row r="50" spans="1:19" s="1076" customFormat="1" outlineLevel="1" x14ac:dyDescent="0.15">
      <c r="A50" s="1102" t="s">
        <v>1525</v>
      </c>
      <c r="B50" s="975" t="s">
        <v>1749</v>
      </c>
      <c r="C50" s="975"/>
      <c r="D50" s="975"/>
      <c r="E50" s="975"/>
      <c r="F50" s="975"/>
      <c r="G50" s="975"/>
      <c r="H50" s="975"/>
      <c r="I50" s="971">
        <v>1</v>
      </c>
      <c r="J50" s="886">
        <v>510400</v>
      </c>
      <c r="K50" s="886">
        <v>326000</v>
      </c>
      <c r="L50" s="886">
        <f t="shared" si="3"/>
        <v>836400</v>
      </c>
      <c r="M50" s="630">
        <v>1</v>
      </c>
      <c r="N50" s="886">
        <f t="shared" si="4"/>
        <v>836400</v>
      </c>
      <c r="O50" s="886" t="s">
        <v>41</v>
      </c>
      <c r="P50" s="1088" t="str">
        <f t="shared" si="5"/>
        <v>ACP</v>
      </c>
      <c r="Q50" s="1090">
        <v>2</v>
      </c>
      <c r="R50" s="771" t="s">
        <v>1962</v>
      </c>
      <c r="S50" s="984"/>
    </row>
    <row r="51" spans="1:19" s="1076" customFormat="1" outlineLevel="1" x14ac:dyDescent="0.15">
      <c r="A51" s="1102" t="s">
        <v>1509</v>
      </c>
      <c r="B51" s="975" t="s">
        <v>1737</v>
      </c>
      <c r="C51" s="975"/>
      <c r="D51" s="975"/>
      <c r="E51" s="975"/>
      <c r="F51" s="975"/>
      <c r="G51" s="975"/>
      <c r="H51" s="975"/>
      <c r="I51" s="971">
        <v>0.33</v>
      </c>
      <c r="J51" s="886">
        <v>128000</v>
      </c>
      <c r="K51" s="886">
        <v>304600</v>
      </c>
      <c r="L51" s="886">
        <f t="shared" si="3"/>
        <v>432600</v>
      </c>
      <c r="M51" s="630">
        <v>0.55000000000000004</v>
      </c>
      <c r="N51" s="886">
        <f t="shared" si="4"/>
        <v>237930.00000000003</v>
      </c>
      <c r="O51" s="886" t="s">
        <v>1873</v>
      </c>
      <c r="P51" s="1088" t="str">
        <f t="shared" si="5"/>
        <v>ACP</v>
      </c>
      <c r="Q51" s="1090">
        <v>2</v>
      </c>
      <c r="R51" s="771" t="s">
        <v>1960</v>
      </c>
      <c r="S51" s="984"/>
    </row>
    <row r="52" spans="1:19" s="1076" customFormat="1" outlineLevel="1" x14ac:dyDescent="0.15">
      <c r="A52" s="1102" t="s">
        <v>1655</v>
      </c>
      <c r="B52" s="975" t="s">
        <v>1839</v>
      </c>
      <c r="C52" s="975"/>
      <c r="D52" s="975"/>
      <c r="E52" s="975"/>
      <c r="F52" s="975"/>
      <c r="G52" s="975"/>
      <c r="H52" s="975"/>
      <c r="I52" s="971">
        <v>0.31</v>
      </c>
      <c r="J52" s="886">
        <v>204900</v>
      </c>
      <c r="K52" s="886">
        <v>97900</v>
      </c>
      <c r="L52" s="886">
        <f t="shared" si="3"/>
        <v>302800</v>
      </c>
      <c r="M52" s="630">
        <v>1</v>
      </c>
      <c r="N52" s="886">
        <f t="shared" si="4"/>
        <v>302800</v>
      </c>
      <c r="O52" s="886" t="s">
        <v>41</v>
      </c>
      <c r="P52" s="1088" t="str">
        <f t="shared" si="5"/>
        <v>ACP</v>
      </c>
      <c r="Q52" s="1090">
        <v>2</v>
      </c>
      <c r="R52" s="771" t="s">
        <v>1958</v>
      </c>
      <c r="S52" s="984"/>
    </row>
    <row r="53" spans="1:19" s="1076" customFormat="1" outlineLevel="1" x14ac:dyDescent="0.15">
      <c r="A53" s="1102" t="s">
        <v>1559</v>
      </c>
      <c r="B53" s="975" t="s">
        <v>1775</v>
      </c>
      <c r="C53" s="975"/>
      <c r="D53" s="975"/>
      <c r="E53" s="975"/>
      <c r="F53" s="975"/>
      <c r="G53" s="975"/>
      <c r="H53" s="975"/>
      <c r="I53" s="971">
        <v>0.11</v>
      </c>
      <c r="J53" s="886">
        <v>97600</v>
      </c>
      <c r="K53" s="886">
        <v>65300</v>
      </c>
      <c r="L53" s="886">
        <f t="shared" si="3"/>
        <v>162900</v>
      </c>
      <c r="M53" s="630">
        <v>1</v>
      </c>
      <c r="N53" s="886">
        <f t="shared" si="4"/>
        <v>162900</v>
      </c>
      <c r="O53" s="886" t="s">
        <v>41</v>
      </c>
      <c r="P53" s="1088" t="str">
        <f t="shared" si="5"/>
        <v>ACP</v>
      </c>
      <c r="Q53" s="1090">
        <v>2</v>
      </c>
      <c r="R53" s="771" t="s">
        <v>1957</v>
      </c>
      <c r="S53" s="984"/>
    </row>
    <row r="54" spans="1:19" s="1076" customFormat="1" outlineLevel="1" x14ac:dyDescent="0.15">
      <c r="A54" s="1102" t="s">
        <v>1474</v>
      </c>
      <c r="B54" s="975" t="s">
        <v>1703</v>
      </c>
      <c r="C54" s="975"/>
      <c r="D54" s="975"/>
      <c r="E54" s="975"/>
      <c r="F54" s="975"/>
      <c r="G54" s="975"/>
      <c r="H54" s="975"/>
      <c r="I54" s="971">
        <v>0.11</v>
      </c>
      <c r="J54" s="886">
        <v>96100</v>
      </c>
      <c r="K54" s="886">
        <v>40300</v>
      </c>
      <c r="L54" s="886">
        <f t="shared" si="3"/>
        <v>136400</v>
      </c>
      <c r="M54" s="630">
        <v>0.55000000000000004</v>
      </c>
      <c r="N54" s="886">
        <f t="shared" si="4"/>
        <v>75020</v>
      </c>
      <c r="O54" s="1092" t="s">
        <v>41</v>
      </c>
      <c r="P54" s="1088" t="str">
        <f t="shared" si="5"/>
        <v>ACP</v>
      </c>
      <c r="Q54" s="1090">
        <v>2</v>
      </c>
      <c r="R54" s="771" t="s">
        <v>1956</v>
      </c>
      <c r="S54" s="984"/>
    </row>
    <row r="55" spans="1:19" s="1076" customFormat="1" outlineLevel="1" x14ac:dyDescent="0.15">
      <c r="A55" s="1102" t="s">
        <v>1542</v>
      </c>
      <c r="B55" s="975" t="s">
        <v>1762</v>
      </c>
      <c r="C55" s="975"/>
      <c r="D55" s="975"/>
      <c r="E55" s="975"/>
      <c r="F55" s="975"/>
      <c r="G55" s="975"/>
      <c r="H55" s="975"/>
      <c r="I55" s="971">
        <v>0.11</v>
      </c>
      <c r="J55" s="886">
        <v>74600</v>
      </c>
      <c r="K55" s="886">
        <v>88000</v>
      </c>
      <c r="L55" s="886">
        <f t="shared" si="3"/>
        <v>162600</v>
      </c>
      <c r="M55" s="630">
        <v>0.55000000000000004</v>
      </c>
      <c r="N55" s="886">
        <f t="shared" si="4"/>
        <v>89430</v>
      </c>
      <c r="O55" s="886" t="s">
        <v>1864</v>
      </c>
      <c r="P55" s="1088" t="str">
        <f t="shared" si="5"/>
        <v>ACP</v>
      </c>
      <c r="Q55" s="1090">
        <v>2</v>
      </c>
      <c r="R55" s="771" t="s">
        <v>1955</v>
      </c>
      <c r="S55" s="984"/>
    </row>
    <row r="56" spans="1:19" s="1076" customFormat="1" outlineLevel="1" x14ac:dyDescent="0.15">
      <c r="A56" s="1102" t="s">
        <v>1647</v>
      </c>
      <c r="B56" s="975" t="s">
        <v>1836</v>
      </c>
      <c r="C56" s="975"/>
      <c r="D56" s="975"/>
      <c r="E56" s="975"/>
      <c r="F56" s="975"/>
      <c r="G56" s="975"/>
      <c r="H56" s="975"/>
      <c r="I56" s="971">
        <v>0.11</v>
      </c>
      <c r="J56" s="886">
        <v>74600</v>
      </c>
      <c r="K56" s="886">
        <v>107600</v>
      </c>
      <c r="L56" s="886">
        <f t="shared" si="3"/>
        <v>182200</v>
      </c>
      <c r="M56" s="630">
        <v>0.55000000000000004</v>
      </c>
      <c r="N56" s="886">
        <f t="shared" si="4"/>
        <v>100210.00000000001</v>
      </c>
      <c r="O56" s="886" t="s">
        <v>1864</v>
      </c>
      <c r="P56" s="1088" t="str">
        <f t="shared" si="5"/>
        <v>ACP</v>
      </c>
      <c r="Q56" s="1090">
        <v>2</v>
      </c>
      <c r="R56" s="771" t="s">
        <v>1954</v>
      </c>
      <c r="S56" s="984"/>
    </row>
    <row r="57" spans="1:19" s="1076" customFormat="1" outlineLevel="1" x14ac:dyDescent="0.15">
      <c r="A57" s="1102" t="s">
        <v>1609</v>
      </c>
      <c r="B57" s="975" t="s">
        <v>1815</v>
      </c>
      <c r="C57" s="975"/>
      <c r="D57" s="975"/>
      <c r="E57" s="975"/>
      <c r="F57" s="975"/>
      <c r="G57" s="975"/>
      <c r="H57" s="975"/>
      <c r="I57" s="971">
        <v>0.21</v>
      </c>
      <c r="J57" s="886">
        <v>95400</v>
      </c>
      <c r="K57" s="886">
        <v>135200</v>
      </c>
      <c r="L57" s="886">
        <f t="shared" si="3"/>
        <v>230600</v>
      </c>
      <c r="M57" s="630">
        <v>0.55000000000000004</v>
      </c>
      <c r="N57" s="886">
        <f t="shared" si="4"/>
        <v>126830.00000000001</v>
      </c>
      <c r="O57" s="886" t="s">
        <v>1864</v>
      </c>
      <c r="P57" s="1088" t="str">
        <f t="shared" si="5"/>
        <v>ACP</v>
      </c>
      <c r="Q57" s="1090">
        <v>2</v>
      </c>
      <c r="R57" s="771" t="s">
        <v>1953</v>
      </c>
      <c r="S57" s="984"/>
    </row>
    <row r="58" spans="1:19" s="1076" customFormat="1" x14ac:dyDescent="0.15">
      <c r="A58" s="1102" t="s">
        <v>1654</v>
      </c>
      <c r="B58" s="975" t="s">
        <v>1749</v>
      </c>
      <c r="C58" s="975"/>
      <c r="D58" s="975"/>
      <c r="E58" s="975"/>
      <c r="F58" s="975"/>
      <c r="G58" s="975"/>
      <c r="H58" s="975"/>
      <c r="I58" s="971">
        <v>0.77</v>
      </c>
      <c r="J58" s="886">
        <v>334600</v>
      </c>
      <c r="K58" s="886">
        <v>4000</v>
      </c>
      <c r="L58" s="886">
        <f t="shared" si="3"/>
        <v>338600</v>
      </c>
      <c r="M58" s="630">
        <v>1</v>
      </c>
      <c r="N58" s="886">
        <f t="shared" si="4"/>
        <v>338600</v>
      </c>
      <c r="O58" s="886" t="s">
        <v>1889</v>
      </c>
      <c r="P58" s="1088" t="str">
        <f t="shared" si="5"/>
        <v>ACP</v>
      </c>
      <c r="Q58" s="1090">
        <v>2</v>
      </c>
      <c r="R58" s="771" t="s">
        <v>1961</v>
      </c>
      <c r="S58" s="984"/>
    </row>
    <row r="59" spans="1:19" s="1076" customFormat="1" x14ac:dyDescent="0.15">
      <c r="A59" s="1102" t="s">
        <v>1671</v>
      </c>
      <c r="B59" s="975" t="s">
        <v>1848</v>
      </c>
      <c r="C59" s="975"/>
      <c r="D59" s="975"/>
      <c r="E59" s="975"/>
      <c r="F59" s="975"/>
      <c r="G59" s="975"/>
      <c r="H59" s="975"/>
      <c r="I59" s="971">
        <v>0.78</v>
      </c>
      <c r="J59" s="886">
        <v>480100</v>
      </c>
      <c r="K59" s="886">
        <v>1215800</v>
      </c>
      <c r="L59" s="886">
        <f t="shared" si="3"/>
        <v>1695900</v>
      </c>
      <c r="M59" s="630">
        <v>0.55000000000000004</v>
      </c>
      <c r="N59" s="886">
        <f t="shared" si="4"/>
        <v>932745.00000000012</v>
      </c>
      <c r="O59" s="886" t="s">
        <v>1922</v>
      </c>
      <c r="P59" s="1088" t="str">
        <f t="shared" si="5"/>
        <v>ACP</v>
      </c>
      <c r="Q59" s="1090">
        <v>2</v>
      </c>
      <c r="R59" s="771" t="s">
        <v>1959</v>
      </c>
      <c r="S59" s="984"/>
    </row>
    <row r="60" spans="1:19" s="1076" customFormat="1" x14ac:dyDescent="0.15">
      <c r="A60" s="1103">
        <v>16294270480000</v>
      </c>
      <c r="B60" s="975" t="s">
        <v>1706</v>
      </c>
      <c r="C60" s="975"/>
      <c r="D60" s="975"/>
      <c r="E60" s="975"/>
      <c r="F60" s="975"/>
      <c r="G60" s="975"/>
      <c r="H60" s="975"/>
      <c r="I60" s="971">
        <v>0.49</v>
      </c>
      <c r="J60" s="886">
        <v>383700</v>
      </c>
      <c r="K60" s="886"/>
      <c r="L60" s="886">
        <f t="shared" si="3"/>
        <v>383700</v>
      </c>
      <c r="M60" s="630">
        <v>1</v>
      </c>
      <c r="N60" s="886">
        <f t="shared" si="4"/>
        <v>383700</v>
      </c>
      <c r="O60" s="609" t="s">
        <v>1869</v>
      </c>
      <c r="P60" s="1088" t="str">
        <f t="shared" si="5"/>
        <v>ACP</v>
      </c>
      <c r="Q60" s="1090">
        <v>3</v>
      </c>
      <c r="R60" s="771" t="s">
        <v>1994</v>
      </c>
      <c r="S60" s="984"/>
    </row>
    <row r="61" spans="1:19" s="1076" customFormat="1" x14ac:dyDescent="0.15">
      <c r="A61" s="1103">
        <v>16294560790000</v>
      </c>
      <c r="B61" s="975" t="s">
        <v>1701</v>
      </c>
      <c r="C61" s="975"/>
      <c r="D61" s="975"/>
      <c r="E61" s="975"/>
      <c r="F61" s="975"/>
      <c r="G61" s="975"/>
      <c r="H61" s="975"/>
      <c r="I61" s="971">
        <v>0.01</v>
      </c>
      <c r="J61" s="886">
        <v>64100</v>
      </c>
      <c r="K61" s="886">
        <v>149700</v>
      </c>
      <c r="L61" s="886">
        <f t="shared" si="3"/>
        <v>213800</v>
      </c>
      <c r="M61" s="630">
        <v>0.55000000000000004</v>
      </c>
      <c r="N61" s="886">
        <f t="shared" si="4"/>
        <v>117590.00000000001</v>
      </c>
      <c r="O61" s="609" t="s">
        <v>1865</v>
      </c>
      <c r="P61" s="1088" t="str">
        <f t="shared" si="5"/>
        <v>ACP</v>
      </c>
      <c r="Q61" s="1090">
        <v>3</v>
      </c>
      <c r="R61" s="771" t="s">
        <v>1866</v>
      </c>
      <c r="S61" s="984"/>
    </row>
    <row r="62" spans="1:19" s="1076" customFormat="1" x14ac:dyDescent="0.15">
      <c r="A62" s="1102" t="s">
        <v>1533</v>
      </c>
      <c r="B62" s="975" t="s">
        <v>1747</v>
      </c>
      <c r="C62" s="975"/>
      <c r="D62" s="975"/>
      <c r="E62" s="975"/>
      <c r="F62" s="975"/>
      <c r="G62" s="975"/>
      <c r="H62" s="975"/>
      <c r="I62" s="971">
        <v>0.03</v>
      </c>
      <c r="J62" s="886">
        <v>13000</v>
      </c>
      <c r="K62" s="886">
        <v>0</v>
      </c>
      <c r="L62" s="886">
        <f t="shared" si="3"/>
        <v>13000</v>
      </c>
      <c r="M62" s="630">
        <v>1</v>
      </c>
      <c r="N62" s="886">
        <f t="shared" si="4"/>
        <v>13000</v>
      </c>
      <c r="O62" s="886" t="s">
        <v>41</v>
      </c>
      <c r="P62" s="1088" t="str">
        <f t="shared" si="5"/>
        <v>ACP</v>
      </c>
      <c r="Q62" s="1090">
        <v>3</v>
      </c>
      <c r="R62" s="771" t="s">
        <v>1891</v>
      </c>
      <c r="S62" s="984"/>
    </row>
    <row r="63" spans="1:19" s="1076" customFormat="1" x14ac:dyDescent="0.15">
      <c r="A63" s="1102" t="s">
        <v>1675</v>
      </c>
      <c r="B63" s="975" t="s">
        <v>1747</v>
      </c>
      <c r="C63" s="975"/>
      <c r="D63" s="975"/>
      <c r="E63" s="975"/>
      <c r="F63" s="975"/>
      <c r="G63" s="975"/>
      <c r="H63" s="975"/>
      <c r="I63" s="971">
        <v>0.41</v>
      </c>
      <c r="J63" s="886">
        <v>254200</v>
      </c>
      <c r="K63" s="886">
        <v>0</v>
      </c>
      <c r="L63" s="886">
        <f t="shared" si="3"/>
        <v>254200</v>
      </c>
      <c r="M63" s="630">
        <v>1</v>
      </c>
      <c r="N63" s="886">
        <f t="shared" si="4"/>
        <v>254200</v>
      </c>
      <c r="O63" s="886" t="s">
        <v>1886</v>
      </c>
      <c r="P63" s="1088" t="str">
        <f t="shared" si="5"/>
        <v>ACP</v>
      </c>
      <c r="Q63" s="1090">
        <v>3</v>
      </c>
      <c r="R63" s="771" t="s">
        <v>1891</v>
      </c>
      <c r="S63" s="984"/>
    </row>
    <row r="64" spans="1:19" s="1076" customFormat="1" x14ac:dyDescent="0.15">
      <c r="A64" s="1102" t="s">
        <v>1523</v>
      </c>
      <c r="B64" s="975" t="s">
        <v>1747</v>
      </c>
      <c r="C64" s="975"/>
      <c r="D64" s="975"/>
      <c r="E64" s="975"/>
      <c r="F64" s="975"/>
      <c r="G64" s="975"/>
      <c r="H64" s="975"/>
      <c r="I64" s="971">
        <v>0.43</v>
      </c>
      <c r="J64" s="886">
        <v>266900</v>
      </c>
      <c r="K64" s="886">
        <v>1085100</v>
      </c>
      <c r="L64" s="886">
        <f t="shared" si="3"/>
        <v>1352000</v>
      </c>
      <c r="M64" s="630">
        <v>1</v>
      </c>
      <c r="N64" s="886">
        <f t="shared" si="4"/>
        <v>1352000</v>
      </c>
      <c r="O64" s="886" t="s">
        <v>41</v>
      </c>
      <c r="P64" s="1088" t="str">
        <f t="shared" si="5"/>
        <v>ACP</v>
      </c>
      <c r="Q64" s="1090">
        <v>3</v>
      </c>
      <c r="R64" s="771" t="s">
        <v>1891</v>
      </c>
      <c r="S64" s="984"/>
    </row>
    <row r="65" spans="1:19" s="1076" customFormat="1" x14ac:dyDescent="0.15">
      <c r="A65" s="1102" t="s">
        <v>1608</v>
      </c>
      <c r="B65" s="975" t="s">
        <v>1813</v>
      </c>
      <c r="C65" s="975"/>
      <c r="D65" s="975"/>
      <c r="E65" s="975"/>
      <c r="F65" s="975"/>
      <c r="G65" s="975"/>
      <c r="H65" s="975"/>
      <c r="I65" s="971">
        <v>0.89</v>
      </c>
      <c r="J65" s="886">
        <v>784900</v>
      </c>
      <c r="K65" s="886">
        <v>1261700</v>
      </c>
      <c r="L65" s="886">
        <f t="shared" si="3"/>
        <v>2046600</v>
      </c>
      <c r="M65" s="630">
        <v>1</v>
      </c>
      <c r="N65" s="886">
        <f t="shared" si="4"/>
        <v>2046600</v>
      </c>
      <c r="O65" s="886" t="s">
        <v>41</v>
      </c>
      <c r="P65" s="1088" t="str">
        <f t="shared" si="5"/>
        <v>ACP</v>
      </c>
      <c r="Q65" s="1090">
        <v>3</v>
      </c>
      <c r="R65" s="771" t="s">
        <v>1892</v>
      </c>
      <c r="S65" s="984"/>
    </row>
    <row r="66" spans="1:19" s="1076" customFormat="1" ht="12.75" customHeight="1" x14ac:dyDescent="0.15">
      <c r="A66" s="1102" t="s">
        <v>1623</v>
      </c>
      <c r="B66" s="975" t="s">
        <v>1824</v>
      </c>
      <c r="C66" s="975"/>
      <c r="D66" s="975"/>
      <c r="E66" s="975"/>
      <c r="F66" s="975"/>
      <c r="G66" s="975"/>
      <c r="H66" s="975"/>
      <c r="I66" s="971">
        <v>0.48</v>
      </c>
      <c r="J66" s="886">
        <v>294100</v>
      </c>
      <c r="K66" s="886">
        <v>18400</v>
      </c>
      <c r="L66" s="886">
        <f t="shared" si="3"/>
        <v>312500</v>
      </c>
      <c r="M66" s="630">
        <v>1</v>
      </c>
      <c r="N66" s="886">
        <f t="shared" si="4"/>
        <v>312500</v>
      </c>
      <c r="O66" s="886" t="s">
        <v>41</v>
      </c>
      <c r="P66" s="1088" t="str">
        <f t="shared" si="5"/>
        <v>ACP</v>
      </c>
      <c r="Q66" s="1090">
        <v>3</v>
      </c>
      <c r="R66" s="771" t="s">
        <v>1893</v>
      </c>
      <c r="S66" s="984"/>
    </row>
    <row r="67" spans="1:19" s="1076" customFormat="1" x14ac:dyDescent="0.15">
      <c r="A67" s="1102" t="s">
        <v>1496</v>
      </c>
      <c r="B67" s="975" t="s">
        <v>1726</v>
      </c>
      <c r="C67" s="975"/>
      <c r="D67" s="975"/>
      <c r="E67" s="975"/>
      <c r="F67" s="975"/>
      <c r="G67" s="975"/>
      <c r="H67" s="975"/>
      <c r="I67" s="971">
        <v>2.7</v>
      </c>
      <c r="J67" s="886">
        <v>71300</v>
      </c>
      <c r="K67" s="886">
        <v>0</v>
      </c>
      <c r="L67" s="886">
        <f t="shared" ref="L67:L100" si="6">SUM(J67:K67)</f>
        <v>71300</v>
      </c>
      <c r="M67" s="630">
        <v>1</v>
      </c>
      <c r="N67" s="886">
        <f t="shared" ref="N67:N100" si="7">L67*M67</f>
        <v>71300</v>
      </c>
      <c r="O67" s="609" t="s">
        <v>1869</v>
      </c>
      <c r="P67" s="1088" t="str">
        <f t="shared" si="5"/>
        <v>ACP</v>
      </c>
      <c r="Q67" s="1090">
        <v>3</v>
      </c>
      <c r="R67" s="771" t="s">
        <v>1874</v>
      </c>
      <c r="S67" s="984"/>
    </row>
    <row r="68" spans="1:19" s="1076" customFormat="1" x14ac:dyDescent="0.15">
      <c r="A68" s="1102" t="s">
        <v>1660</v>
      </c>
      <c r="B68" s="975" t="s">
        <v>1841</v>
      </c>
      <c r="C68" s="975"/>
      <c r="D68" s="975"/>
      <c r="E68" s="975"/>
      <c r="F68" s="975"/>
      <c r="G68" s="975"/>
      <c r="H68" s="975"/>
      <c r="I68" s="971">
        <v>0.33</v>
      </c>
      <c r="J68" s="886">
        <v>317100</v>
      </c>
      <c r="K68" s="886">
        <v>132900</v>
      </c>
      <c r="L68" s="886">
        <f t="shared" si="6"/>
        <v>450000</v>
      </c>
      <c r="M68" s="630"/>
      <c r="N68" s="886">
        <f t="shared" si="7"/>
        <v>0</v>
      </c>
      <c r="O68" s="609"/>
      <c r="P68" s="1088" t="str">
        <f t="shared" si="5"/>
        <v>ACP</v>
      </c>
      <c r="Q68" s="1090">
        <f>Q67</f>
        <v>3</v>
      </c>
      <c r="R68" s="771"/>
      <c r="S68" s="984"/>
    </row>
    <row r="69" spans="1:19" s="1076" customFormat="1" x14ac:dyDescent="0.15">
      <c r="A69" s="1102" t="s">
        <v>1618</v>
      </c>
      <c r="B69" s="975" t="s">
        <v>1730</v>
      </c>
      <c r="C69" s="975"/>
      <c r="D69" s="975"/>
      <c r="E69" s="975"/>
      <c r="F69" s="975"/>
      <c r="G69" s="975"/>
      <c r="H69" s="975"/>
      <c r="I69" s="971">
        <v>0.39</v>
      </c>
      <c r="J69" s="886">
        <v>242100</v>
      </c>
      <c r="K69" s="886">
        <v>406100</v>
      </c>
      <c r="L69" s="886">
        <f t="shared" si="6"/>
        <v>648200</v>
      </c>
      <c r="M69" s="630">
        <v>1</v>
      </c>
      <c r="N69" s="886">
        <f t="shared" si="7"/>
        <v>648200</v>
      </c>
      <c r="O69" s="609" t="s">
        <v>41</v>
      </c>
      <c r="P69" s="1088" t="str">
        <f t="shared" si="5"/>
        <v>ACP</v>
      </c>
      <c r="Q69" s="1090">
        <v>3</v>
      </c>
      <c r="R69" s="771" t="s">
        <v>1885</v>
      </c>
      <c r="S69" s="984"/>
    </row>
    <row r="70" spans="1:19" s="1076" customFormat="1" x14ac:dyDescent="0.15">
      <c r="A70" s="1102" t="s">
        <v>1507</v>
      </c>
      <c r="B70" s="975" t="s">
        <v>1731</v>
      </c>
      <c r="C70" s="975"/>
      <c r="D70" s="975"/>
      <c r="E70" s="975"/>
      <c r="F70" s="975"/>
      <c r="G70" s="975"/>
      <c r="H70" s="975"/>
      <c r="I70" s="971">
        <v>1.48</v>
      </c>
      <c r="J70" s="886">
        <v>918700</v>
      </c>
      <c r="K70" s="886">
        <v>1782900</v>
      </c>
      <c r="L70" s="886">
        <f t="shared" si="6"/>
        <v>2701600</v>
      </c>
      <c r="M70" s="630">
        <v>1</v>
      </c>
      <c r="N70" s="886">
        <f t="shared" si="7"/>
        <v>2701600</v>
      </c>
      <c r="O70" s="609" t="s">
        <v>41</v>
      </c>
      <c r="P70" s="1088" t="str">
        <f t="shared" si="5"/>
        <v>ACP</v>
      </c>
      <c r="Q70" s="1090">
        <v>3</v>
      </c>
      <c r="R70" s="771" t="s">
        <v>1882</v>
      </c>
      <c r="S70" s="984"/>
    </row>
    <row r="71" spans="1:19" s="1076" customFormat="1" x14ac:dyDescent="0.15">
      <c r="A71" s="1102" t="s">
        <v>1501</v>
      </c>
      <c r="B71" s="975" t="s">
        <v>1731</v>
      </c>
      <c r="C71" s="975"/>
      <c r="D71" s="975"/>
      <c r="E71" s="975"/>
      <c r="F71" s="975"/>
      <c r="G71" s="975"/>
      <c r="H71" s="975"/>
      <c r="I71" s="971">
        <v>0.56999999999999995</v>
      </c>
      <c r="J71" s="886">
        <v>353800</v>
      </c>
      <c r="K71" s="886">
        <v>0</v>
      </c>
      <c r="L71" s="886">
        <f t="shared" si="6"/>
        <v>353800</v>
      </c>
      <c r="M71" s="630">
        <v>1</v>
      </c>
      <c r="N71" s="886">
        <f t="shared" si="7"/>
        <v>353800</v>
      </c>
      <c r="O71" s="609" t="s">
        <v>41</v>
      </c>
      <c r="P71" s="1088" t="str">
        <f t="shared" si="5"/>
        <v>ACP</v>
      </c>
      <c r="Q71" s="1090">
        <v>3</v>
      </c>
      <c r="R71" s="771" t="s">
        <v>1881</v>
      </c>
      <c r="S71" s="984"/>
    </row>
    <row r="72" spans="1:19" s="1076" customFormat="1" x14ac:dyDescent="0.15">
      <c r="A72" s="1102" t="s">
        <v>1565</v>
      </c>
      <c r="B72" s="975" t="s">
        <v>1731</v>
      </c>
      <c r="C72" s="975"/>
      <c r="D72" s="975"/>
      <c r="E72" s="975"/>
      <c r="F72" s="975"/>
      <c r="G72" s="975"/>
      <c r="H72" s="975"/>
      <c r="I72" s="971">
        <v>0.64</v>
      </c>
      <c r="J72" s="886">
        <v>397300</v>
      </c>
      <c r="K72" s="886">
        <v>0</v>
      </c>
      <c r="L72" s="886">
        <f t="shared" si="6"/>
        <v>397300</v>
      </c>
      <c r="M72" s="630">
        <v>1</v>
      </c>
      <c r="N72" s="886">
        <f t="shared" si="7"/>
        <v>397300</v>
      </c>
      <c r="O72" s="609" t="s">
        <v>41</v>
      </c>
      <c r="P72" s="1088" t="str">
        <f t="shared" si="5"/>
        <v>ACP</v>
      </c>
      <c r="Q72" s="1090">
        <v>3</v>
      </c>
      <c r="R72" s="771" t="s">
        <v>1880</v>
      </c>
      <c r="S72" s="984"/>
    </row>
    <row r="73" spans="1:19" s="1076" customFormat="1" x14ac:dyDescent="0.15">
      <c r="A73" s="1102" t="s">
        <v>1517</v>
      </c>
      <c r="B73" s="975" t="s">
        <v>1731</v>
      </c>
      <c r="C73" s="975"/>
      <c r="D73" s="975"/>
      <c r="E73" s="975"/>
      <c r="F73" s="975"/>
      <c r="G73" s="975"/>
      <c r="H73" s="975"/>
      <c r="I73" s="971">
        <v>0.18</v>
      </c>
      <c r="J73" s="886">
        <v>111700</v>
      </c>
      <c r="K73" s="886">
        <v>0</v>
      </c>
      <c r="L73" s="886">
        <f t="shared" si="6"/>
        <v>111700</v>
      </c>
      <c r="M73" s="630">
        <v>1</v>
      </c>
      <c r="N73" s="886">
        <f t="shared" si="7"/>
        <v>111700</v>
      </c>
      <c r="O73" s="609" t="s">
        <v>41</v>
      </c>
      <c r="P73" s="1088" t="str">
        <f t="shared" si="5"/>
        <v>ACP</v>
      </c>
      <c r="Q73" s="1090">
        <v>3</v>
      </c>
      <c r="R73" s="771" t="s">
        <v>1879</v>
      </c>
      <c r="S73" s="984"/>
    </row>
    <row r="74" spans="1:19" s="1076" customFormat="1" x14ac:dyDescent="0.15">
      <c r="A74" s="1102" t="s">
        <v>1643</v>
      </c>
      <c r="B74" s="975" t="s">
        <v>1731</v>
      </c>
      <c r="C74" s="975"/>
      <c r="D74" s="975"/>
      <c r="E74" s="975"/>
      <c r="F74" s="975"/>
      <c r="G74" s="975"/>
      <c r="H74" s="975"/>
      <c r="I74" s="971">
        <v>0.84</v>
      </c>
      <c r="J74" s="886">
        <v>521400</v>
      </c>
      <c r="K74" s="886">
        <v>0</v>
      </c>
      <c r="L74" s="886">
        <f t="shared" si="6"/>
        <v>521400</v>
      </c>
      <c r="M74" s="630">
        <v>1</v>
      </c>
      <c r="N74" s="886">
        <f t="shared" si="7"/>
        <v>521400</v>
      </c>
      <c r="O74" s="609" t="s">
        <v>41</v>
      </c>
      <c r="P74" s="1088" t="str">
        <f t="shared" si="5"/>
        <v>ACP</v>
      </c>
      <c r="Q74" s="1090">
        <v>3</v>
      </c>
      <c r="R74" s="771" t="s">
        <v>1878</v>
      </c>
      <c r="S74" s="984"/>
    </row>
    <row r="75" spans="1:19" s="1076" customFormat="1" x14ac:dyDescent="0.15">
      <c r="A75" s="1102" t="s">
        <v>1548</v>
      </c>
      <c r="B75" s="975" t="s">
        <v>1731</v>
      </c>
      <c r="C75" s="975"/>
      <c r="D75" s="975"/>
      <c r="E75" s="975"/>
      <c r="F75" s="975"/>
      <c r="G75" s="975"/>
      <c r="H75" s="975"/>
      <c r="I75" s="971">
        <v>0.33</v>
      </c>
      <c r="J75" s="886">
        <v>204800</v>
      </c>
      <c r="K75" s="886">
        <v>0</v>
      </c>
      <c r="L75" s="886">
        <f t="shared" si="6"/>
        <v>204800</v>
      </c>
      <c r="M75" s="630">
        <v>1</v>
      </c>
      <c r="N75" s="886">
        <f t="shared" si="7"/>
        <v>204800</v>
      </c>
      <c r="O75" s="609" t="s">
        <v>41</v>
      </c>
      <c r="P75" s="1088" t="str">
        <f t="shared" si="5"/>
        <v>ACP</v>
      </c>
      <c r="Q75" s="1090">
        <v>3</v>
      </c>
      <c r="R75" s="771" t="s">
        <v>1877</v>
      </c>
      <c r="S75" s="984"/>
    </row>
    <row r="76" spans="1:19" s="1076" customFormat="1" x14ac:dyDescent="0.15">
      <c r="A76" s="1102" t="s">
        <v>1685</v>
      </c>
      <c r="B76" s="975" t="s">
        <v>1726</v>
      </c>
      <c r="C76" s="975"/>
      <c r="D76" s="975"/>
      <c r="E76" s="975"/>
      <c r="F76" s="975"/>
      <c r="G76" s="975"/>
      <c r="H76" s="975"/>
      <c r="I76" s="971">
        <v>0.72</v>
      </c>
      <c r="J76" s="886">
        <v>446900</v>
      </c>
      <c r="K76" s="886">
        <v>818600</v>
      </c>
      <c r="L76" s="886">
        <f t="shared" si="6"/>
        <v>1265500</v>
      </c>
      <c r="M76" s="630">
        <v>1</v>
      </c>
      <c r="N76" s="886">
        <f t="shared" si="7"/>
        <v>1265500</v>
      </c>
      <c r="O76" s="609" t="s">
        <v>41</v>
      </c>
      <c r="P76" s="1088" t="str">
        <f t="shared" si="5"/>
        <v>ACP</v>
      </c>
      <c r="Q76" s="1090">
        <v>3</v>
      </c>
      <c r="R76" s="771" t="s">
        <v>1876</v>
      </c>
      <c r="S76" s="984"/>
    </row>
    <row r="77" spans="1:19" s="1076" customFormat="1" x14ac:dyDescent="0.15">
      <c r="A77" s="1102" t="s">
        <v>1666</v>
      </c>
      <c r="B77" s="975" t="s">
        <v>1844</v>
      </c>
      <c r="C77" s="975"/>
      <c r="D77" s="975"/>
      <c r="E77" s="975"/>
      <c r="F77" s="975"/>
      <c r="G77" s="975"/>
      <c r="H77" s="975"/>
      <c r="I77" s="971">
        <v>0.1</v>
      </c>
      <c r="J77" s="886">
        <v>43500</v>
      </c>
      <c r="K77" s="886">
        <v>600</v>
      </c>
      <c r="L77" s="886">
        <f t="shared" si="6"/>
        <v>44100</v>
      </c>
      <c r="M77" s="630"/>
      <c r="N77" s="886">
        <f t="shared" si="7"/>
        <v>0</v>
      </c>
      <c r="O77" s="886" t="s">
        <v>1889</v>
      </c>
      <c r="P77" s="1088" t="str">
        <f t="shared" si="5"/>
        <v>ACP</v>
      </c>
      <c r="Q77" s="1090">
        <v>3</v>
      </c>
      <c r="R77" s="771" t="s">
        <v>1890</v>
      </c>
      <c r="S77" s="984"/>
    </row>
    <row r="78" spans="1:19" s="1076" customFormat="1" x14ac:dyDescent="0.15">
      <c r="A78" s="1102" t="s">
        <v>1669</v>
      </c>
      <c r="B78" s="975" t="s">
        <v>1846</v>
      </c>
      <c r="C78" s="975"/>
      <c r="D78" s="975"/>
      <c r="E78" s="975"/>
      <c r="F78" s="975"/>
      <c r="G78" s="975"/>
      <c r="H78" s="975"/>
      <c r="I78" s="971">
        <v>0.36</v>
      </c>
      <c r="J78" s="886">
        <v>262300</v>
      </c>
      <c r="K78" s="886">
        <v>684500</v>
      </c>
      <c r="L78" s="886">
        <f t="shared" si="6"/>
        <v>946800</v>
      </c>
      <c r="M78" s="630">
        <v>1</v>
      </c>
      <c r="N78" s="886">
        <f t="shared" si="7"/>
        <v>946800</v>
      </c>
      <c r="O78" s="886" t="s">
        <v>41</v>
      </c>
      <c r="P78" s="1088" t="str">
        <f t="shared" si="5"/>
        <v>ACP</v>
      </c>
      <c r="Q78" s="1090">
        <v>3</v>
      </c>
      <c r="R78" s="771" t="s">
        <v>1888</v>
      </c>
      <c r="S78" s="984"/>
    </row>
    <row r="79" spans="1:19" s="1076" customFormat="1" x14ac:dyDescent="0.15">
      <c r="A79" s="1102" t="s">
        <v>1500</v>
      </c>
      <c r="B79" s="975" t="s">
        <v>1730</v>
      </c>
      <c r="C79" s="975"/>
      <c r="D79" s="975"/>
      <c r="E79" s="975"/>
      <c r="F79" s="975"/>
      <c r="G79" s="975"/>
      <c r="H79" s="975"/>
      <c r="I79" s="971">
        <v>0.1</v>
      </c>
      <c r="J79" s="886">
        <v>40400</v>
      </c>
      <c r="K79" s="886">
        <v>0</v>
      </c>
      <c r="L79" s="886">
        <f t="shared" si="6"/>
        <v>40400</v>
      </c>
      <c r="M79" s="630">
        <v>1</v>
      </c>
      <c r="N79" s="886">
        <f t="shared" si="7"/>
        <v>40400</v>
      </c>
      <c r="O79" s="886" t="s">
        <v>1886</v>
      </c>
      <c r="P79" s="1088" t="str">
        <f t="shared" si="5"/>
        <v>ACP</v>
      </c>
      <c r="Q79" s="1090">
        <v>3</v>
      </c>
      <c r="R79" s="771" t="s">
        <v>1887</v>
      </c>
      <c r="S79" s="984"/>
    </row>
    <row r="80" spans="1:19" s="1076" customFormat="1" x14ac:dyDescent="0.15">
      <c r="A80" s="1102" t="s">
        <v>1499</v>
      </c>
      <c r="B80" s="975" t="s">
        <v>1729</v>
      </c>
      <c r="C80" s="975"/>
      <c r="D80" s="975"/>
      <c r="E80" s="975"/>
      <c r="F80" s="975"/>
      <c r="G80" s="975"/>
      <c r="H80" s="975"/>
      <c r="I80" s="971">
        <v>0.28000000000000003</v>
      </c>
      <c r="J80" s="886">
        <v>181700</v>
      </c>
      <c r="K80" s="886">
        <v>83600</v>
      </c>
      <c r="L80" s="886">
        <f t="shared" si="6"/>
        <v>265300</v>
      </c>
      <c r="M80" s="630">
        <v>1</v>
      </c>
      <c r="N80" s="886">
        <f t="shared" si="7"/>
        <v>265300</v>
      </c>
      <c r="O80" s="886" t="s">
        <v>41</v>
      </c>
      <c r="P80" s="1088" t="str">
        <f t="shared" si="5"/>
        <v>ACP</v>
      </c>
      <c r="Q80" s="1090">
        <v>3</v>
      </c>
      <c r="R80" s="771" t="s">
        <v>1884</v>
      </c>
      <c r="S80" s="984"/>
    </row>
    <row r="81" spans="1:19" s="1076" customFormat="1" x14ac:dyDescent="0.15">
      <c r="A81" s="1102" t="s">
        <v>1573</v>
      </c>
      <c r="B81" s="975" t="s">
        <v>1787</v>
      </c>
      <c r="C81" s="975"/>
      <c r="D81" s="975"/>
      <c r="E81" s="975"/>
      <c r="F81" s="975"/>
      <c r="G81" s="975"/>
      <c r="H81" s="975"/>
      <c r="I81" s="971">
        <v>0.41</v>
      </c>
      <c r="J81" s="886">
        <v>588800</v>
      </c>
      <c r="K81" s="886">
        <v>379500</v>
      </c>
      <c r="L81" s="886">
        <f t="shared" si="6"/>
        <v>968300</v>
      </c>
      <c r="M81" s="630">
        <v>1</v>
      </c>
      <c r="N81" s="886">
        <f t="shared" si="7"/>
        <v>968300</v>
      </c>
      <c r="O81" s="886" t="s">
        <v>41</v>
      </c>
      <c r="P81" s="1088" t="str">
        <f t="shared" si="5"/>
        <v>ACP</v>
      </c>
      <c r="Q81" s="1090">
        <v>3</v>
      </c>
      <c r="R81" s="771" t="s">
        <v>1883</v>
      </c>
      <c r="S81" s="984"/>
    </row>
    <row r="82" spans="1:19" s="1076" customFormat="1" x14ac:dyDescent="0.15">
      <c r="A82" s="1103">
        <v>16283510240000</v>
      </c>
      <c r="B82" s="975" t="s">
        <v>1814</v>
      </c>
      <c r="C82" s="975"/>
      <c r="D82" s="975"/>
      <c r="E82" s="975"/>
      <c r="F82" s="975"/>
      <c r="G82" s="975"/>
      <c r="H82" s="975"/>
      <c r="I82" s="971">
        <v>0.44</v>
      </c>
      <c r="J82" s="886">
        <v>320600</v>
      </c>
      <c r="K82" s="886">
        <v>0</v>
      </c>
      <c r="L82" s="886">
        <f t="shared" si="6"/>
        <v>320600</v>
      </c>
      <c r="M82" s="630">
        <v>1</v>
      </c>
      <c r="N82" s="886">
        <f t="shared" si="7"/>
        <v>320600</v>
      </c>
      <c r="O82" s="886" t="s">
        <v>1886</v>
      </c>
      <c r="P82" s="1088" t="str">
        <f t="shared" si="5"/>
        <v>ACP</v>
      </c>
      <c r="Q82" s="1090">
        <v>4</v>
      </c>
      <c r="R82" s="771" t="s">
        <v>1987</v>
      </c>
      <c r="S82" s="984"/>
    </row>
    <row r="83" spans="1:19" s="1076" customFormat="1" x14ac:dyDescent="0.15">
      <c r="A83" s="1102" t="s">
        <v>1539</v>
      </c>
      <c r="B83" s="975" t="s">
        <v>1760</v>
      </c>
      <c r="C83" s="975"/>
      <c r="D83" s="975"/>
      <c r="E83" s="975"/>
      <c r="F83" s="975"/>
      <c r="G83" s="975"/>
      <c r="H83" s="975"/>
      <c r="I83" s="971">
        <v>0.7</v>
      </c>
      <c r="J83" s="886">
        <v>454100</v>
      </c>
      <c r="K83" s="886">
        <v>307600</v>
      </c>
      <c r="L83" s="886">
        <f t="shared" si="6"/>
        <v>761700</v>
      </c>
      <c r="M83" s="630">
        <v>1</v>
      </c>
      <c r="N83" s="886">
        <f t="shared" si="7"/>
        <v>761700</v>
      </c>
      <c r="O83" s="886" t="s">
        <v>41</v>
      </c>
      <c r="P83" s="1088" t="str">
        <f t="shared" si="5"/>
        <v>ACP</v>
      </c>
      <c r="Q83" s="1090">
        <v>4</v>
      </c>
      <c r="R83" s="771" t="s">
        <v>1984</v>
      </c>
      <c r="S83" s="984"/>
    </row>
    <row r="84" spans="1:19" s="1076" customFormat="1" x14ac:dyDescent="0.15">
      <c r="A84" s="1102" t="s">
        <v>1535</v>
      </c>
      <c r="B84" s="975" t="s">
        <v>1757</v>
      </c>
      <c r="C84" s="975"/>
      <c r="D84" s="975"/>
      <c r="E84" s="975"/>
      <c r="F84" s="975"/>
      <c r="G84" s="975"/>
      <c r="H84" s="975"/>
      <c r="I84" s="971">
        <v>0.2</v>
      </c>
      <c r="J84" s="886">
        <v>153700</v>
      </c>
      <c r="K84" s="886">
        <v>0</v>
      </c>
      <c r="L84" s="886">
        <f t="shared" si="6"/>
        <v>153700</v>
      </c>
      <c r="M84" s="630">
        <v>1</v>
      </c>
      <c r="N84" s="886">
        <f t="shared" si="7"/>
        <v>153700</v>
      </c>
      <c r="O84" s="886" t="s">
        <v>1886</v>
      </c>
      <c r="P84" s="1088" t="str">
        <f t="shared" ref="P84:P101" si="8">P83</f>
        <v>ACP</v>
      </c>
      <c r="Q84" s="1090">
        <v>4</v>
      </c>
      <c r="R84" s="771" t="s">
        <v>1985</v>
      </c>
      <c r="S84" s="984"/>
    </row>
    <row r="85" spans="1:19" s="1076" customFormat="1" x14ac:dyDescent="0.15">
      <c r="A85" s="1102" t="s">
        <v>1620</v>
      </c>
      <c r="B85" s="975" t="s">
        <v>1757</v>
      </c>
      <c r="C85" s="975"/>
      <c r="D85" s="975"/>
      <c r="E85" s="975"/>
      <c r="F85" s="975"/>
      <c r="G85" s="975"/>
      <c r="H85" s="975"/>
      <c r="I85" s="971">
        <v>0.17</v>
      </c>
      <c r="J85" s="886">
        <v>236500</v>
      </c>
      <c r="K85" s="886">
        <v>232900</v>
      </c>
      <c r="L85" s="886">
        <f t="shared" si="6"/>
        <v>469400</v>
      </c>
      <c r="M85" s="630">
        <v>1</v>
      </c>
      <c r="N85" s="886">
        <f t="shared" si="7"/>
        <v>469400</v>
      </c>
      <c r="O85" s="886" t="s">
        <v>41</v>
      </c>
      <c r="P85" s="1088" t="str">
        <f t="shared" si="8"/>
        <v>ACP</v>
      </c>
      <c r="Q85" s="1090">
        <v>4</v>
      </c>
      <c r="R85" s="771" t="s">
        <v>1986</v>
      </c>
      <c r="S85" s="984"/>
    </row>
    <row r="86" spans="1:19" s="1076" customFormat="1" x14ac:dyDescent="0.15">
      <c r="A86" s="1102" t="s">
        <v>1700</v>
      </c>
      <c r="B86" s="975" t="s">
        <v>1760</v>
      </c>
      <c r="C86" s="975"/>
      <c r="D86" s="975"/>
      <c r="E86" s="975"/>
      <c r="F86" s="975"/>
      <c r="G86" s="975"/>
      <c r="H86" s="975"/>
      <c r="I86" s="971">
        <v>0.13</v>
      </c>
      <c r="J86" s="886">
        <v>48400</v>
      </c>
      <c r="K86" s="886">
        <v>0</v>
      </c>
      <c r="L86" s="886">
        <f t="shared" si="6"/>
        <v>48400</v>
      </c>
      <c r="M86" s="630">
        <v>1</v>
      </c>
      <c r="N86" s="886">
        <f t="shared" si="7"/>
        <v>48400</v>
      </c>
      <c r="O86" s="886" t="s">
        <v>1886</v>
      </c>
      <c r="P86" s="1088" t="str">
        <f t="shared" si="8"/>
        <v>ACP</v>
      </c>
      <c r="Q86" s="1090">
        <v>4</v>
      </c>
      <c r="R86" s="771" t="s">
        <v>1983</v>
      </c>
      <c r="S86" s="984"/>
    </row>
    <row r="87" spans="1:19" s="1076" customFormat="1" x14ac:dyDescent="0.15">
      <c r="A87" s="1102" t="s">
        <v>1484</v>
      </c>
      <c r="B87" s="975" t="s">
        <v>1714</v>
      </c>
      <c r="C87" s="975"/>
      <c r="D87" s="975"/>
      <c r="E87" s="975"/>
      <c r="F87" s="975"/>
      <c r="G87" s="975"/>
      <c r="H87" s="975"/>
      <c r="I87" s="971">
        <v>0.41</v>
      </c>
      <c r="J87" s="886">
        <v>275200</v>
      </c>
      <c r="K87" s="886">
        <v>1903300</v>
      </c>
      <c r="L87" s="886">
        <f t="shared" si="6"/>
        <v>2178500</v>
      </c>
      <c r="M87" s="630">
        <v>1</v>
      </c>
      <c r="N87" s="886">
        <f t="shared" si="7"/>
        <v>2178500</v>
      </c>
      <c r="O87" s="886" t="s">
        <v>41</v>
      </c>
      <c r="P87" s="1088" t="str">
        <f t="shared" si="8"/>
        <v>ACP</v>
      </c>
      <c r="Q87" s="1090">
        <v>4</v>
      </c>
      <c r="R87" s="771" t="s">
        <v>1988</v>
      </c>
      <c r="S87" s="984"/>
    </row>
    <row r="88" spans="1:19" s="1076" customFormat="1" x14ac:dyDescent="0.15">
      <c r="A88" s="1102" t="s">
        <v>1652</v>
      </c>
      <c r="B88" s="975" t="s">
        <v>1838</v>
      </c>
      <c r="C88" s="975"/>
      <c r="D88" s="975"/>
      <c r="E88" s="975"/>
      <c r="F88" s="975"/>
      <c r="G88" s="975"/>
      <c r="H88" s="975"/>
      <c r="I88" s="971">
        <v>0.56000000000000005</v>
      </c>
      <c r="J88" s="886">
        <v>359700</v>
      </c>
      <c r="K88" s="886">
        <v>240000</v>
      </c>
      <c r="L88" s="886">
        <f t="shared" si="6"/>
        <v>599700</v>
      </c>
      <c r="M88" s="630">
        <v>1</v>
      </c>
      <c r="N88" s="886">
        <f t="shared" si="7"/>
        <v>599700</v>
      </c>
      <c r="O88" s="886" t="s">
        <v>41</v>
      </c>
      <c r="P88" s="1088" t="str">
        <f t="shared" si="8"/>
        <v>ACP</v>
      </c>
      <c r="Q88" s="1090">
        <v>4</v>
      </c>
      <c r="R88" s="771" t="s">
        <v>1989</v>
      </c>
      <c r="S88" s="984"/>
    </row>
    <row r="89" spans="1:19" s="1076" customFormat="1" x14ac:dyDescent="0.15">
      <c r="A89" s="1102" t="s">
        <v>1582</v>
      </c>
      <c r="B89" s="975" t="s">
        <v>1794</v>
      </c>
      <c r="C89" s="975"/>
      <c r="D89" s="975"/>
      <c r="E89" s="975"/>
      <c r="F89" s="975"/>
      <c r="G89" s="975"/>
      <c r="H89" s="975"/>
      <c r="I89" s="971">
        <v>3.92</v>
      </c>
      <c r="J89" s="886">
        <v>1868700</v>
      </c>
      <c r="K89" s="886">
        <v>10192200</v>
      </c>
      <c r="L89" s="886">
        <f t="shared" si="6"/>
        <v>12060900</v>
      </c>
      <c r="M89" s="630">
        <v>0.55000000000000004</v>
      </c>
      <c r="N89" s="886">
        <f t="shared" si="7"/>
        <v>6633495.0000000009</v>
      </c>
      <c r="O89" s="886" t="s">
        <v>1922</v>
      </c>
      <c r="P89" s="1088" t="str">
        <f t="shared" si="8"/>
        <v>ACP</v>
      </c>
      <c r="Q89" s="1090">
        <v>4</v>
      </c>
      <c r="R89" s="771" t="s">
        <v>1993</v>
      </c>
      <c r="S89" s="984"/>
    </row>
    <row r="90" spans="1:19" s="1076" customFormat="1" x14ac:dyDescent="0.15">
      <c r="A90" s="1102" t="s">
        <v>1617</v>
      </c>
      <c r="B90" s="975" t="s">
        <v>1812</v>
      </c>
      <c r="C90" s="975"/>
      <c r="D90" s="975"/>
      <c r="E90" s="975"/>
      <c r="F90" s="975"/>
      <c r="G90" s="975"/>
      <c r="H90" s="975"/>
      <c r="I90" s="971">
        <v>0.15</v>
      </c>
      <c r="J90" s="886">
        <v>120100</v>
      </c>
      <c r="K90" s="886">
        <v>178300</v>
      </c>
      <c r="L90" s="886">
        <f t="shared" si="6"/>
        <v>298400</v>
      </c>
      <c r="M90" s="630">
        <v>1</v>
      </c>
      <c r="N90" s="886">
        <f t="shared" si="7"/>
        <v>298400</v>
      </c>
      <c r="O90" s="886" t="s">
        <v>41</v>
      </c>
      <c r="P90" s="1088" t="str">
        <f t="shared" si="8"/>
        <v>ACP</v>
      </c>
      <c r="Q90" s="1090">
        <v>4</v>
      </c>
      <c r="R90" s="771" t="s">
        <v>1978</v>
      </c>
      <c r="S90" s="984"/>
    </row>
    <row r="91" spans="1:19" s="1076" customFormat="1" x14ac:dyDescent="0.15">
      <c r="A91" s="1102" t="s">
        <v>1642</v>
      </c>
      <c r="B91" s="975" t="s">
        <v>1786</v>
      </c>
      <c r="C91" s="975"/>
      <c r="D91" s="975"/>
      <c r="E91" s="975"/>
      <c r="F91" s="975"/>
      <c r="G91" s="975"/>
      <c r="H91" s="975"/>
      <c r="I91" s="971">
        <v>0.11</v>
      </c>
      <c r="J91" s="886">
        <v>47800</v>
      </c>
      <c r="K91" s="886">
        <v>4900</v>
      </c>
      <c r="L91" s="886">
        <f t="shared" si="6"/>
        <v>52700</v>
      </c>
      <c r="M91" s="630">
        <v>1</v>
      </c>
      <c r="N91" s="886">
        <f t="shared" si="7"/>
        <v>52700</v>
      </c>
      <c r="O91" s="886" t="s">
        <v>1886</v>
      </c>
      <c r="P91" s="1088" t="str">
        <f t="shared" si="8"/>
        <v>ACP</v>
      </c>
      <c r="Q91" s="1090">
        <v>4</v>
      </c>
      <c r="R91" s="771" t="s">
        <v>1979</v>
      </c>
      <c r="S91" s="984"/>
    </row>
    <row r="92" spans="1:19" s="1076" customFormat="1" x14ac:dyDescent="0.15">
      <c r="A92" s="1102" t="s">
        <v>1572</v>
      </c>
      <c r="B92" s="975" t="s">
        <v>1786</v>
      </c>
      <c r="C92" s="975"/>
      <c r="D92" s="975"/>
      <c r="E92" s="975"/>
      <c r="F92" s="975"/>
      <c r="G92" s="975"/>
      <c r="H92" s="975"/>
      <c r="I92" s="971">
        <v>0.71</v>
      </c>
      <c r="J92" s="886">
        <v>466400</v>
      </c>
      <c r="K92" s="886">
        <v>790000</v>
      </c>
      <c r="L92" s="886">
        <f t="shared" si="6"/>
        <v>1256400</v>
      </c>
      <c r="M92" s="630">
        <v>1</v>
      </c>
      <c r="N92" s="886">
        <f t="shared" si="7"/>
        <v>1256400</v>
      </c>
      <c r="O92" s="886" t="s">
        <v>41</v>
      </c>
      <c r="P92" s="1088" t="str">
        <f t="shared" si="8"/>
        <v>ACP</v>
      </c>
      <c r="Q92" s="1090">
        <v>4</v>
      </c>
      <c r="R92" s="771" t="s">
        <v>1980</v>
      </c>
      <c r="S92" s="984"/>
    </row>
    <row r="93" spans="1:19" s="1076" customFormat="1" x14ac:dyDescent="0.15">
      <c r="A93" s="1102" t="s">
        <v>1593</v>
      </c>
      <c r="B93" s="975" t="s">
        <v>1801</v>
      </c>
      <c r="C93" s="975"/>
      <c r="D93" s="975"/>
      <c r="E93" s="975"/>
      <c r="F93" s="975"/>
      <c r="G93" s="975"/>
      <c r="H93" s="975"/>
      <c r="I93" s="971">
        <v>0.22</v>
      </c>
      <c r="J93" s="886">
        <v>140800</v>
      </c>
      <c r="K93" s="886">
        <v>474800</v>
      </c>
      <c r="L93" s="886">
        <f t="shared" si="6"/>
        <v>615600</v>
      </c>
      <c r="M93" s="630">
        <v>1</v>
      </c>
      <c r="N93" s="886">
        <f t="shared" si="7"/>
        <v>615600</v>
      </c>
      <c r="O93" s="886" t="s">
        <v>41</v>
      </c>
      <c r="P93" s="1088" t="str">
        <f t="shared" si="8"/>
        <v>ACP</v>
      </c>
      <c r="Q93" s="1090">
        <v>4</v>
      </c>
      <c r="R93" s="771" t="s">
        <v>1981</v>
      </c>
      <c r="S93" s="984"/>
    </row>
    <row r="94" spans="1:19" s="1076" customFormat="1" x14ac:dyDescent="0.15">
      <c r="A94" s="1102" t="s">
        <v>1521</v>
      </c>
      <c r="B94" s="975" t="s">
        <v>1745</v>
      </c>
      <c r="C94" s="975"/>
      <c r="D94" s="975"/>
      <c r="E94" s="975"/>
      <c r="F94" s="975"/>
      <c r="G94" s="975"/>
      <c r="H94" s="975"/>
      <c r="I94" s="971">
        <v>2.04</v>
      </c>
      <c r="J94" s="886">
        <v>1266300</v>
      </c>
      <c r="K94" s="886">
        <v>0</v>
      </c>
      <c r="L94" s="886">
        <f t="shared" si="6"/>
        <v>1266300</v>
      </c>
      <c r="M94" s="630">
        <v>1</v>
      </c>
      <c r="N94" s="886">
        <f t="shared" si="7"/>
        <v>1266300</v>
      </c>
      <c r="O94" s="886" t="s">
        <v>1886</v>
      </c>
      <c r="P94" s="1088" t="str">
        <f t="shared" si="8"/>
        <v>ACP</v>
      </c>
      <c r="Q94" s="1090">
        <v>4</v>
      </c>
      <c r="R94" s="771" t="s">
        <v>1982</v>
      </c>
      <c r="S94" s="984"/>
    </row>
    <row r="95" spans="1:19" s="1076" customFormat="1" x14ac:dyDescent="0.15">
      <c r="A95" s="1102" t="s">
        <v>1489</v>
      </c>
      <c r="B95" s="975" t="s">
        <v>1718</v>
      </c>
      <c r="C95" s="975"/>
      <c r="D95" s="975"/>
      <c r="E95" s="975"/>
      <c r="F95" s="975"/>
      <c r="G95" s="975"/>
      <c r="H95" s="975"/>
      <c r="I95" s="971">
        <v>0.23</v>
      </c>
      <c r="J95" s="886">
        <v>159900</v>
      </c>
      <c r="K95" s="886">
        <v>604700</v>
      </c>
      <c r="L95" s="886">
        <f t="shared" si="6"/>
        <v>764600</v>
      </c>
      <c r="M95" s="630">
        <v>0.55000000000000004</v>
      </c>
      <c r="N95" s="886">
        <f t="shared" si="7"/>
        <v>420530.00000000006</v>
      </c>
      <c r="O95" s="886" t="s">
        <v>1873</v>
      </c>
      <c r="P95" s="1088" t="str">
        <f t="shared" si="8"/>
        <v>ACP</v>
      </c>
      <c r="Q95" s="1090">
        <v>4</v>
      </c>
      <c r="R95" s="771" t="s">
        <v>1976</v>
      </c>
      <c r="S95" s="984"/>
    </row>
    <row r="96" spans="1:19" s="1076" customFormat="1" x14ac:dyDescent="0.15">
      <c r="A96" s="1102" t="s">
        <v>1583</v>
      </c>
      <c r="B96" s="975" t="s">
        <v>1718</v>
      </c>
      <c r="C96" s="975"/>
      <c r="D96" s="975"/>
      <c r="E96" s="975"/>
      <c r="F96" s="975"/>
      <c r="G96" s="975"/>
      <c r="H96" s="975"/>
      <c r="I96" s="971">
        <v>0.23</v>
      </c>
      <c r="J96" s="886">
        <v>159900</v>
      </c>
      <c r="K96" s="886">
        <v>604700</v>
      </c>
      <c r="L96" s="886">
        <f t="shared" si="6"/>
        <v>764600</v>
      </c>
      <c r="M96" s="630">
        <v>0.55000000000000004</v>
      </c>
      <c r="N96" s="886">
        <f t="shared" si="7"/>
        <v>420530.00000000006</v>
      </c>
      <c r="O96" s="886" t="s">
        <v>1873</v>
      </c>
      <c r="P96" s="1088" t="str">
        <f t="shared" si="8"/>
        <v>ACP</v>
      </c>
      <c r="Q96" s="1090">
        <v>4</v>
      </c>
      <c r="R96" s="771" t="s">
        <v>1977</v>
      </c>
      <c r="S96" s="984"/>
    </row>
    <row r="97" spans="1:19" s="1076" customFormat="1" x14ac:dyDescent="0.15">
      <c r="A97" s="1102" t="s">
        <v>1595</v>
      </c>
      <c r="B97" s="975" t="s">
        <v>1803</v>
      </c>
      <c r="C97" s="975"/>
      <c r="D97" s="975"/>
      <c r="E97" s="975"/>
      <c r="F97" s="975"/>
      <c r="G97" s="975"/>
      <c r="H97" s="975"/>
      <c r="I97" s="971">
        <v>0.18</v>
      </c>
      <c r="J97" s="886">
        <v>134500</v>
      </c>
      <c r="K97" s="886">
        <v>68400</v>
      </c>
      <c r="L97" s="886">
        <f t="shared" si="6"/>
        <v>202900</v>
      </c>
      <c r="M97" s="630">
        <v>0.55000000000000004</v>
      </c>
      <c r="N97" s="886">
        <f t="shared" si="7"/>
        <v>111595.00000000001</v>
      </c>
      <c r="O97" s="886" t="s">
        <v>1864</v>
      </c>
      <c r="P97" s="1088" t="str">
        <f t="shared" si="8"/>
        <v>ACP</v>
      </c>
      <c r="Q97" s="1090">
        <v>4</v>
      </c>
      <c r="R97" s="771" t="s">
        <v>1990</v>
      </c>
      <c r="S97" s="984"/>
    </row>
    <row r="98" spans="1:19" s="1076" customFormat="1" x14ac:dyDescent="0.15">
      <c r="A98" s="1102" t="s">
        <v>1606</v>
      </c>
      <c r="B98" s="975" t="s">
        <v>1803</v>
      </c>
      <c r="C98" s="975"/>
      <c r="D98" s="975"/>
      <c r="E98" s="975"/>
      <c r="F98" s="975"/>
      <c r="G98" s="975"/>
      <c r="H98" s="975"/>
      <c r="I98" s="971">
        <v>0.18</v>
      </c>
      <c r="J98" s="886">
        <v>2500</v>
      </c>
      <c r="K98" s="886">
        <v>0</v>
      </c>
      <c r="L98" s="886">
        <f t="shared" si="6"/>
        <v>2500</v>
      </c>
      <c r="M98" s="630">
        <v>1</v>
      </c>
      <c r="N98" s="886">
        <f t="shared" si="7"/>
        <v>2500</v>
      </c>
      <c r="O98" s="886" t="s">
        <v>1875</v>
      </c>
      <c r="P98" s="1088" t="str">
        <f t="shared" si="8"/>
        <v>ACP</v>
      </c>
      <c r="Q98" s="1090">
        <v>4</v>
      </c>
      <c r="R98" s="771" t="s">
        <v>1991</v>
      </c>
      <c r="S98" s="984"/>
    </row>
    <row r="99" spans="1:19" s="1076" customFormat="1" x14ac:dyDescent="0.15">
      <c r="A99" s="1102" t="s">
        <v>1662</v>
      </c>
      <c r="B99" s="975" t="s">
        <v>1782</v>
      </c>
      <c r="C99" s="975"/>
      <c r="D99" s="975"/>
      <c r="E99" s="975"/>
      <c r="F99" s="975"/>
      <c r="G99" s="975"/>
      <c r="H99" s="975"/>
      <c r="I99" s="971">
        <v>0.02</v>
      </c>
      <c r="J99" s="886">
        <v>12400</v>
      </c>
      <c r="K99" s="886">
        <v>0</v>
      </c>
      <c r="L99" s="886">
        <f t="shared" si="6"/>
        <v>12400</v>
      </c>
      <c r="M99" s="630">
        <v>0</v>
      </c>
      <c r="N99" s="886">
        <f t="shared" si="7"/>
        <v>0</v>
      </c>
      <c r="O99" s="886" t="s">
        <v>1930</v>
      </c>
      <c r="P99" s="1088" t="str">
        <f t="shared" si="8"/>
        <v>ACP</v>
      </c>
      <c r="Q99" s="1090">
        <v>4</v>
      </c>
      <c r="R99" s="771" t="s">
        <v>1992</v>
      </c>
      <c r="S99" s="984"/>
    </row>
    <row r="100" spans="1:19" s="1076" customFormat="1" x14ac:dyDescent="0.15">
      <c r="A100" s="1102" t="s">
        <v>1607</v>
      </c>
      <c r="B100" s="975" t="s">
        <v>1812</v>
      </c>
      <c r="C100" s="975"/>
      <c r="D100" s="975"/>
      <c r="E100" s="975"/>
      <c r="F100" s="975"/>
      <c r="G100" s="975"/>
      <c r="H100" s="975"/>
      <c r="I100" s="971">
        <v>0.79</v>
      </c>
      <c r="J100" s="886">
        <v>490400</v>
      </c>
      <c r="K100" s="886">
        <v>0</v>
      </c>
      <c r="L100" s="886">
        <f t="shared" si="6"/>
        <v>490400</v>
      </c>
      <c r="M100" s="630">
        <v>1</v>
      </c>
      <c r="N100" s="886">
        <f t="shared" si="7"/>
        <v>490400</v>
      </c>
      <c r="O100" s="886" t="s">
        <v>1889</v>
      </c>
      <c r="P100" s="1088" t="str">
        <f t="shared" si="8"/>
        <v>ACP</v>
      </c>
      <c r="Q100" s="1090">
        <v>4</v>
      </c>
      <c r="R100" s="771" t="s">
        <v>1975</v>
      </c>
      <c r="S100" s="984"/>
    </row>
    <row r="101" spans="1:19" s="1076" customFormat="1" x14ac:dyDescent="0.15">
      <c r="A101" s="1102" t="s">
        <v>1505</v>
      </c>
      <c r="B101" s="975" t="s">
        <v>1735</v>
      </c>
      <c r="C101" s="975"/>
      <c r="D101" s="975"/>
      <c r="E101" s="975"/>
      <c r="F101" s="975"/>
      <c r="G101" s="975"/>
      <c r="H101" s="975"/>
      <c r="I101" s="971">
        <v>0.67</v>
      </c>
      <c r="J101" s="886">
        <v>576800</v>
      </c>
      <c r="K101" s="886">
        <v>742900</v>
      </c>
      <c r="L101" s="886">
        <f t="shared" ref="L101:L128" si="9">SUM(J101:K101)</f>
        <v>1319700</v>
      </c>
      <c r="M101" s="630">
        <v>1</v>
      </c>
      <c r="N101" s="886">
        <f t="shared" ref="N101:N128" si="10">L101*M101</f>
        <v>1319700</v>
      </c>
      <c r="O101" s="886" t="s">
        <v>41</v>
      </c>
      <c r="P101" s="1088" t="str">
        <f t="shared" si="8"/>
        <v>ACP</v>
      </c>
      <c r="Q101" s="1090">
        <v>5</v>
      </c>
      <c r="R101" s="771" t="s">
        <v>2002</v>
      </c>
      <c r="S101" s="984"/>
    </row>
    <row r="102" spans="1:19" s="1076" customFormat="1" x14ac:dyDescent="0.15">
      <c r="A102" s="1102" t="s">
        <v>1590</v>
      </c>
      <c r="B102" s="975" t="s">
        <v>1798</v>
      </c>
      <c r="C102" s="975"/>
      <c r="D102" s="975"/>
      <c r="E102" s="975"/>
      <c r="F102" s="975"/>
      <c r="G102" s="975"/>
      <c r="H102" s="975"/>
      <c r="I102" s="971">
        <v>0.27</v>
      </c>
      <c r="J102" s="886">
        <v>220790</v>
      </c>
      <c r="K102" s="886">
        <v>372090</v>
      </c>
      <c r="L102" s="886">
        <f t="shared" si="9"/>
        <v>592880</v>
      </c>
      <c r="M102" s="630">
        <v>1</v>
      </c>
      <c r="N102" s="886">
        <f t="shared" si="10"/>
        <v>592880</v>
      </c>
      <c r="O102" s="886" t="s">
        <v>41</v>
      </c>
      <c r="P102" s="1088" t="str">
        <f t="shared" ref="P102:P111" si="11">P101</f>
        <v>ACP</v>
      </c>
      <c r="Q102" s="1090">
        <v>5</v>
      </c>
      <c r="R102" s="771" t="s">
        <v>2006</v>
      </c>
      <c r="S102" s="984"/>
    </row>
    <row r="103" spans="1:19" s="1076" customFormat="1" x14ac:dyDescent="0.15">
      <c r="A103" s="1102" t="s">
        <v>1557</v>
      </c>
      <c r="B103" s="975" t="s">
        <v>1767</v>
      </c>
      <c r="C103" s="975"/>
      <c r="D103" s="975"/>
      <c r="E103" s="975"/>
      <c r="F103" s="975"/>
      <c r="G103" s="975"/>
      <c r="H103" s="975"/>
      <c r="I103" s="971">
        <v>0.15</v>
      </c>
      <c r="J103" s="886">
        <v>219000</v>
      </c>
      <c r="K103" s="886">
        <v>289300</v>
      </c>
      <c r="L103" s="886">
        <f t="shared" si="9"/>
        <v>508300</v>
      </c>
      <c r="M103" s="630">
        <v>1</v>
      </c>
      <c r="N103" s="886">
        <f t="shared" si="10"/>
        <v>508300</v>
      </c>
      <c r="O103" s="886" t="s">
        <v>41</v>
      </c>
      <c r="P103" s="1088" t="str">
        <f t="shared" si="11"/>
        <v>ACP</v>
      </c>
      <c r="Q103" s="1090">
        <v>5</v>
      </c>
      <c r="R103" s="771" t="s">
        <v>2007</v>
      </c>
      <c r="S103" s="984"/>
    </row>
    <row r="104" spans="1:19" s="1076" customFormat="1" x14ac:dyDescent="0.15">
      <c r="A104" s="1102" t="s">
        <v>1550</v>
      </c>
      <c r="B104" s="975" t="s">
        <v>1767</v>
      </c>
      <c r="C104" s="975"/>
      <c r="D104" s="975"/>
      <c r="E104" s="975"/>
      <c r="F104" s="975"/>
      <c r="G104" s="975"/>
      <c r="H104" s="975"/>
      <c r="I104" s="971">
        <v>0.49</v>
      </c>
      <c r="J104" s="886">
        <v>323100</v>
      </c>
      <c r="K104" s="886">
        <v>583700</v>
      </c>
      <c r="L104" s="886">
        <f t="shared" si="9"/>
        <v>906800</v>
      </c>
      <c r="M104" s="630">
        <v>1</v>
      </c>
      <c r="N104" s="886">
        <f t="shared" si="10"/>
        <v>906800</v>
      </c>
      <c r="O104" s="886" t="s">
        <v>41</v>
      </c>
      <c r="P104" s="1088" t="str">
        <f t="shared" si="11"/>
        <v>ACP</v>
      </c>
      <c r="Q104" s="1090">
        <v>5</v>
      </c>
      <c r="R104" s="771" t="s">
        <v>2008</v>
      </c>
      <c r="S104" s="984"/>
    </row>
    <row r="105" spans="1:19" s="1076" customFormat="1" x14ac:dyDescent="0.15">
      <c r="A105" s="1102" t="s">
        <v>1553</v>
      </c>
      <c r="B105" s="975" t="s">
        <v>1770</v>
      </c>
      <c r="C105" s="975"/>
      <c r="D105" s="975"/>
      <c r="E105" s="975"/>
      <c r="F105" s="975"/>
      <c r="G105" s="975"/>
      <c r="H105" s="975"/>
      <c r="I105" s="971">
        <v>0.56000000000000005</v>
      </c>
      <c r="J105" s="886">
        <v>385790</v>
      </c>
      <c r="K105" s="886">
        <v>415390</v>
      </c>
      <c r="L105" s="886">
        <f t="shared" si="9"/>
        <v>801180</v>
      </c>
      <c r="M105" s="630">
        <v>1</v>
      </c>
      <c r="N105" s="886">
        <f t="shared" si="10"/>
        <v>801180</v>
      </c>
      <c r="O105" s="886" t="s">
        <v>41</v>
      </c>
      <c r="P105" s="1088" t="str">
        <f t="shared" si="11"/>
        <v>ACP</v>
      </c>
      <c r="Q105" s="1090">
        <v>5</v>
      </c>
      <c r="R105" s="771" t="s">
        <v>2003</v>
      </c>
      <c r="S105" s="984"/>
    </row>
    <row r="106" spans="1:19" s="1076" customFormat="1" x14ac:dyDescent="0.15">
      <c r="A106" s="1102" t="s">
        <v>1538</v>
      </c>
      <c r="B106" s="975" t="s">
        <v>1759</v>
      </c>
      <c r="C106" s="975"/>
      <c r="D106" s="975"/>
      <c r="E106" s="975"/>
      <c r="F106" s="975"/>
      <c r="G106" s="975"/>
      <c r="H106" s="975"/>
      <c r="I106" s="971">
        <v>0.43</v>
      </c>
      <c r="J106" s="886">
        <v>298100</v>
      </c>
      <c r="K106" s="886">
        <v>143600</v>
      </c>
      <c r="L106" s="886">
        <f t="shared" si="9"/>
        <v>441700</v>
      </c>
      <c r="M106" s="630">
        <v>1</v>
      </c>
      <c r="N106" s="886">
        <f t="shared" si="10"/>
        <v>441700</v>
      </c>
      <c r="O106" s="886" t="s">
        <v>41</v>
      </c>
      <c r="P106" s="1088" t="str">
        <f t="shared" si="11"/>
        <v>ACP</v>
      </c>
      <c r="Q106" s="1090">
        <v>5</v>
      </c>
      <c r="R106" s="771" t="s">
        <v>2009</v>
      </c>
      <c r="S106" s="984"/>
    </row>
    <row r="107" spans="1:19" s="1076" customFormat="1" x14ac:dyDescent="0.15">
      <c r="A107" s="1102" t="s">
        <v>1682</v>
      </c>
      <c r="B107" s="975" t="s">
        <v>1854</v>
      </c>
      <c r="C107" s="975"/>
      <c r="D107" s="975"/>
      <c r="E107" s="975"/>
      <c r="F107" s="975"/>
      <c r="G107" s="975"/>
      <c r="H107" s="975"/>
      <c r="I107" s="971">
        <v>0.3</v>
      </c>
      <c r="J107" s="886">
        <v>209000</v>
      </c>
      <c r="K107" s="886">
        <v>45900</v>
      </c>
      <c r="L107" s="886">
        <f t="shared" si="9"/>
        <v>254900</v>
      </c>
      <c r="M107" s="630">
        <v>1</v>
      </c>
      <c r="N107" s="886">
        <f t="shared" si="10"/>
        <v>254900</v>
      </c>
      <c r="O107" s="886" t="s">
        <v>1324</v>
      </c>
      <c r="P107" s="1088" t="str">
        <f t="shared" si="11"/>
        <v>ACP</v>
      </c>
      <c r="Q107" s="1090">
        <v>5</v>
      </c>
      <c r="R107" s="771" t="s">
        <v>2010</v>
      </c>
      <c r="S107" s="984"/>
    </row>
    <row r="108" spans="1:19" s="1076" customFormat="1" x14ac:dyDescent="0.15">
      <c r="A108" s="1102" t="s">
        <v>1585</v>
      </c>
      <c r="B108" s="975" t="s">
        <v>1796</v>
      </c>
      <c r="C108" s="975"/>
      <c r="D108" s="975"/>
      <c r="E108" s="975"/>
      <c r="F108" s="975"/>
      <c r="G108" s="975"/>
      <c r="H108" s="975"/>
      <c r="I108" s="971">
        <v>0.42</v>
      </c>
      <c r="J108" s="886">
        <v>360100</v>
      </c>
      <c r="K108" s="886">
        <v>351900</v>
      </c>
      <c r="L108" s="886">
        <f t="shared" si="9"/>
        <v>712000</v>
      </c>
      <c r="M108" s="630">
        <v>1</v>
      </c>
      <c r="N108" s="886">
        <f t="shared" si="10"/>
        <v>712000</v>
      </c>
      <c r="O108" s="886" t="s">
        <v>41</v>
      </c>
      <c r="P108" s="1088" t="str">
        <f t="shared" si="11"/>
        <v>ACP</v>
      </c>
      <c r="Q108" s="1090">
        <v>5</v>
      </c>
      <c r="R108" s="771" t="s">
        <v>2011</v>
      </c>
      <c r="S108" s="984"/>
    </row>
    <row r="109" spans="1:19" s="1076" customFormat="1" x14ac:dyDescent="0.15">
      <c r="A109" s="1102" t="s">
        <v>1629</v>
      </c>
      <c r="B109" s="975" t="s">
        <v>1825</v>
      </c>
      <c r="C109" s="975"/>
      <c r="D109" s="975"/>
      <c r="E109" s="975"/>
      <c r="F109" s="975"/>
      <c r="G109" s="975"/>
      <c r="H109" s="975"/>
      <c r="I109" s="971">
        <v>0.13</v>
      </c>
      <c r="J109" s="886">
        <v>138200</v>
      </c>
      <c r="K109" s="886">
        <v>82100</v>
      </c>
      <c r="L109" s="886">
        <f t="shared" si="9"/>
        <v>220300</v>
      </c>
      <c r="M109" s="630">
        <v>0.55000000000000004</v>
      </c>
      <c r="N109" s="886">
        <f t="shared" si="10"/>
        <v>121165.00000000001</v>
      </c>
      <c r="O109" s="886" t="s">
        <v>1864</v>
      </c>
      <c r="P109" s="1088" t="str">
        <f t="shared" si="11"/>
        <v>ACP</v>
      </c>
      <c r="Q109" s="1090">
        <v>5</v>
      </c>
      <c r="R109" s="771" t="s">
        <v>2005</v>
      </c>
      <c r="S109" s="984"/>
    </row>
    <row r="110" spans="1:19" s="1076" customFormat="1" x14ac:dyDescent="0.15">
      <c r="A110" s="1102" t="s">
        <v>1522</v>
      </c>
      <c r="B110" s="975" t="s">
        <v>1746</v>
      </c>
      <c r="C110" s="975"/>
      <c r="D110" s="975"/>
      <c r="E110" s="975"/>
      <c r="F110" s="975"/>
      <c r="G110" s="975"/>
      <c r="H110" s="975"/>
      <c r="I110" s="971">
        <v>1.91</v>
      </c>
      <c r="J110" s="886">
        <v>1314500</v>
      </c>
      <c r="K110" s="886">
        <v>3322500</v>
      </c>
      <c r="L110" s="886">
        <f t="shared" si="9"/>
        <v>4637000</v>
      </c>
      <c r="M110" s="630">
        <v>1</v>
      </c>
      <c r="N110" s="886">
        <f t="shared" si="10"/>
        <v>4637000</v>
      </c>
      <c r="O110" s="886" t="s">
        <v>41</v>
      </c>
      <c r="P110" s="1088" t="str">
        <f t="shared" si="11"/>
        <v>ACP</v>
      </c>
      <c r="Q110" s="1090">
        <v>5</v>
      </c>
      <c r="R110" s="771" t="s">
        <v>2004</v>
      </c>
      <c r="S110" s="984"/>
    </row>
    <row r="111" spans="1:19" s="1076" customFormat="1" x14ac:dyDescent="0.15">
      <c r="A111" s="1103">
        <v>16294310050000</v>
      </c>
      <c r="B111" s="975" t="s">
        <v>1720</v>
      </c>
      <c r="C111" s="975"/>
      <c r="D111" s="975"/>
      <c r="E111" s="975"/>
      <c r="F111" s="975"/>
      <c r="G111" s="975"/>
      <c r="H111" s="975"/>
      <c r="I111" s="971">
        <v>0.55000000000000004</v>
      </c>
      <c r="J111" s="886">
        <v>465500</v>
      </c>
      <c r="K111" s="886">
        <v>450200</v>
      </c>
      <c r="L111" s="886">
        <f t="shared" si="9"/>
        <v>915700</v>
      </c>
      <c r="M111" s="630">
        <v>1</v>
      </c>
      <c r="N111" s="886">
        <f t="shared" si="10"/>
        <v>915700</v>
      </c>
      <c r="O111" s="886" t="s">
        <v>41</v>
      </c>
      <c r="P111" s="1088" t="str">
        <f t="shared" si="11"/>
        <v>ACP</v>
      </c>
      <c r="Q111" s="1090">
        <v>6</v>
      </c>
      <c r="R111" s="771" t="s">
        <v>1916</v>
      </c>
      <c r="S111" s="984"/>
    </row>
    <row r="112" spans="1:19" s="1076" customFormat="1" x14ac:dyDescent="0.15">
      <c r="A112" s="1102" t="s">
        <v>1597</v>
      </c>
      <c r="B112" s="975" t="s">
        <v>1797</v>
      </c>
      <c r="C112" s="975"/>
      <c r="D112" s="975"/>
      <c r="E112" s="975"/>
      <c r="F112" s="975"/>
      <c r="G112" s="975"/>
      <c r="H112" s="975"/>
      <c r="I112" s="971">
        <v>0.14000000000000001</v>
      </c>
      <c r="J112" s="886">
        <v>24100</v>
      </c>
      <c r="K112" s="886">
        <v>0</v>
      </c>
      <c r="L112" s="886">
        <f t="shared" si="9"/>
        <v>24100</v>
      </c>
      <c r="M112" s="630">
        <v>1</v>
      </c>
      <c r="N112" s="886">
        <f t="shared" si="10"/>
        <v>24100</v>
      </c>
      <c r="O112" s="886" t="s">
        <v>1889</v>
      </c>
      <c r="P112" s="1088" t="str">
        <f t="shared" ref="P112:P137" si="12">P111</f>
        <v>ACP</v>
      </c>
      <c r="Q112" s="1090">
        <v>6</v>
      </c>
      <c r="R112" s="771" t="s">
        <v>1996</v>
      </c>
      <c r="S112" s="984"/>
    </row>
    <row r="113" spans="1:19" s="1076" customFormat="1" x14ac:dyDescent="0.15">
      <c r="A113" s="1102" t="s">
        <v>1479</v>
      </c>
      <c r="B113" s="975" t="s">
        <v>1709</v>
      </c>
      <c r="C113" s="975"/>
      <c r="D113" s="975"/>
      <c r="E113" s="975"/>
      <c r="F113" s="975"/>
      <c r="G113" s="975"/>
      <c r="H113" s="975"/>
      <c r="I113" s="971">
        <v>0.14000000000000001</v>
      </c>
      <c r="J113" s="886">
        <v>85000</v>
      </c>
      <c r="K113" s="886">
        <v>117100</v>
      </c>
      <c r="L113" s="886">
        <f t="shared" si="9"/>
        <v>202100</v>
      </c>
      <c r="M113" s="630">
        <v>0.55000000000000004</v>
      </c>
      <c r="N113" s="886">
        <f t="shared" si="10"/>
        <v>111155.00000000001</v>
      </c>
      <c r="O113" s="886" t="s">
        <v>1864</v>
      </c>
      <c r="P113" s="1088" t="str">
        <f t="shared" si="12"/>
        <v>ACP</v>
      </c>
      <c r="Q113" s="1090">
        <v>6</v>
      </c>
      <c r="R113" s="771" t="s">
        <v>1995</v>
      </c>
      <c r="S113" s="984"/>
    </row>
    <row r="114" spans="1:19" s="1076" customFormat="1" x14ac:dyDescent="0.15">
      <c r="A114" s="1102" t="s">
        <v>1605</v>
      </c>
      <c r="B114" s="975" t="s">
        <v>1811</v>
      </c>
      <c r="C114" s="975"/>
      <c r="D114" s="975"/>
      <c r="E114" s="975"/>
      <c r="F114" s="975"/>
      <c r="G114" s="975"/>
      <c r="H114" s="975"/>
      <c r="I114" s="971">
        <v>0.14000000000000001</v>
      </c>
      <c r="J114" s="886">
        <v>85000</v>
      </c>
      <c r="K114" s="886">
        <v>64700</v>
      </c>
      <c r="L114" s="886">
        <f t="shared" si="9"/>
        <v>149700</v>
      </c>
      <c r="M114" s="630">
        <v>0.55000000000000004</v>
      </c>
      <c r="N114" s="886">
        <f t="shared" si="10"/>
        <v>82335</v>
      </c>
      <c r="O114" s="886" t="s">
        <v>1864</v>
      </c>
      <c r="P114" s="1088" t="str">
        <f t="shared" si="12"/>
        <v>ACP</v>
      </c>
      <c r="Q114" s="1090">
        <v>6</v>
      </c>
      <c r="R114" s="771" t="s">
        <v>1997</v>
      </c>
      <c r="S114" s="984"/>
    </row>
    <row r="115" spans="1:19" s="1076" customFormat="1" x14ac:dyDescent="0.15">
      <c r="A115" s="1102" t="s">
        <v>1546</v>
      </c>
      <c r="B115" s="975" t="s">
        <v>1764</v>
      </c>
      <c r="C115" s="975"/>
      <c r="D115" s="975"/>
      <c r="E115" s="975"/>
      <c r="F115" s="975"/>
      <c r="G115" s="975"/>
      <c r="H115" s="975"/>
      <c r="I115" s="971">
        <v>0.14000000000000001</v>
      </c>
      <c r="J115" s="886">
        <v>85000</v>
      </c>
      <c r="K115" s="886">
        <v>74900</v>
      </c>
      <c r="L115" s="886">
        <f t="shared" si="9"/>
        <v>159900</v>
      </c>
      <c r="M115" s="630">
        <v>0.55000000000000004</v>
      </c>
      <c r="N115" s="886">
        <f t="shared" si="10"/>
        <v>87945</v>
      </c>
      <c r="O115" s="886" t="s">
        <v>1864</v>
      </c>
      <c r="P115" s="1088" t="str">
        <f t="shared" si="12"/>
        <v>ACP</v>
      </c>
      <c r="Q115" s="1090">
        <v>6</v>
      </c>
      <c r="R115" s="771" t="s">
        <v>1998</v>
      </c>
      <c r="S115" s="984"/>
    </row>
    <row r="116" spans="1:19" s="1076" customFormat="1" x14ac:dyDescent="0.15">
      <c r="A116" s="1102" t="s">
        <v>1672</v>
      </c>
      <c r="B116" s="975" t="s">
        <v>1704</v>
      </c>
      <c r="C116" s="975"/>
      <c r="D116" s="975"/>
      <c r="E116" s="975"/>
      <c r="F116" s="975"/>
      <c r="G116" s="975"/>
      <c r="H116" s="975"/>
      <c r="I116" s="971">
        <v>0.16</v>
      </c>
      <c r="J116" s="886">
        <v>89200</v>
      </c>
      <c r="K116" s="886">
        <v>72100</v>
      </c>
      <c r="L116" s="886">
        <f t="shared" si="9"/>
        <v>161300</v>
      </c>
      <c r="M116" s="630">
        <v>0.55000000000000004</v>
      </c>
      <c r="N116" s="886">
        <f t="shared" si="10"/>
        <v>88715</v>
      </c>
      <c r="O116" s="886" t="s">
        <v>1864</v>
      </c>
      <c r="P116" s="1088" t="str">
        <f t="shared" si="12"/>
        <v>ACP</v>
      </c>
      <c r="Q116" s="1090">
        <v>6</v>
      </c>
      <c r="R116" s="771" t="s">
        <v>1921</v>
      </c>
      <c r="S116" s="984"/>
    </row>
    <row r="117" spans="1:19" s="1076" customFormat="1" x14ac:dyDescent="0.15">
      <c r="A117" s="1102" t="s">
        <v>1676</v>
      </c>
      <c r="B117" s="975" t="s">
        <v>1704</v>
      </c>
      <c r="C117" s="975"/>
      <c r="D117" s="975"/>
      <c r="E117" s="975"/>
      <c r="F117" s="975"/>
      <c r="G117" s="975"/>
      <c r="H117" s="975"/>
      <c r="I117" s="971">
        <v>0.26</v>
      </c>
      <c r="J117" s="886">
        <v>159600</v>
      </c>
      <c r="K117" s="886">
        <v>0</v>
      </c>
      <c r="L117" s="886">
        <f t="shared" si="9"/>
        <v>159600</v>
      </c>
      <c r="M117" s="630">
        <v>1</v>
      </c>
      <c r="N117" s="886">
        <f t="shared" si="10"/>
        <v>159600</v>
      </c>
      <c r="O117" s="886" t="s">
        <v>1886</v>
      </c>
      <c r="P117" s="1088" t="str">
        <f t="shared" si="12"/>
        <v>ACP</v>
      </c>
      <c r="Q117" s="1090">
        <v>6</v>
      </c>
      <c r="R117" s="771" t="s">
        <v>1901</v>
      </c>
      <c r="S117" s="984"/>
    </row>
    <row r="118" spans="1:19" s="1076" customFormat="1" x14ac:dyDescent="0.15">
      <c r="A118" s="1102" t="s">
        <v>1640</v>
      </c>
      <c r="B118" s="975" t="s">
        <v>1750</v>
      </c>
      <c r="C118" s="975"/>
      <c r="D118" s="975"/>
      <c r="E118" s="975"/>
      <c r="F118" s="975"/>
      <c r="G118" s="975"/>
      <c r="H118" s="975"/>
      <c r="I118" s="971">
        <v>0.24</v>
      </c>
      <c r="J118" s="886">
        <v>172800</v>
      </c>
      <c r="K118" s="886">
        <v>606700</v>
      </c>
      <c r="L118" s="886">
        <f t="shared" si="9"/>
        <v>779500</v>
      </c>
      <c r="M118" s="630">
        <v>1</v>
      </c>
      <c r="N118" s="886">
        <f t="shared" si="10"/>
        <v>779500</v>
      </c>
      <c r="O118" s="886" t="s">
        <v>41</v>
      </c>
      <c r="P118" s="1088" t="str">
        <f t="shared" si="12"/>
        <v>ACP</v>
      </c>
      <c r="Q118" s="1090">
        <v>6</v>
      </c>
      <c r="R118" s="771" t="s">
        <v>1898</v>
      </c>
      <c r="S118" s="984"/>
    </row>
    <row r="119" spans="1:19" s="1076" customFormat="1" x14ac:dyDescent="0.15">
      <c r="A119" s="1102" t="s">
        <v>1475</v>
      </c>
      <c r="B119" s="975" t="s">
        <v>1704</v>
      </c>
      <c r="C119" s="975"/>
      <c r="D119" s="975"/>
      <c r="E119" s="975"/>
      <c r="F119" s="975"/>
      <c r="G119" s="975"/>
      <c r="H119" s="975"/>
      <c r="I119" s="971">
        <v>0.18</v>
      </c>
      <c r="J119" s="886">
        <v>135000</v>
      </c>
      <c r="K119" s="886">
        <v>0</v>
      </c>
      <c r="L119" s="886">
        <f t="shared" si="9"/>
        <v>135000</v>
      </c>
      <c r="M119" s="630">
        <v>1</v>
      </c>
      <c r="N119" s="886">
        <f t="shared" si="10"/>
        <v>135000</v>
      </c>
      <c r="O119" s="609" t="s">
        <v>1870</v>
      </c>
      <c r="P119" s="1088" t="str">
        <f t="shared" si="12"/>
        <v>ACP</v>
      </c>
      <c r="Q119" s="1090">
        <v>6</v>
      </c>
      <c r="R119" s="771" t="s">
        <v>1899</v>
      </c>
      <c r="S119" s="984"/>
    </row>
    <row r="120" spans="1:19" s="1076" customFormat="1" x14ac:dyDescent="0.15">
      <c r="A120" s="1102" t="s">
        <v>1651</v>
      </c>
      <c r="B120" s="975" t="s">
        <v>1704</v>
      </c>
      <c r="C120" s="975"/>
      <c r="D120" s="975"/>
      <c r="E120" s="975"/>
      <c r="F120" s="975"/>
      <c r="G120" s="975"/>
      <c r="H120" s="975"/>
      <c r="I120" s="971">
        <v>0.31</v>
      </c>
      <c r="J120" s="886">
        <v>235600</v>
      </c>
      <c r="K120" s="886">
        <v>1302500</v>
      </c>
      <c r="L120" s="886">
        <f t="shared" si="9"/>
        <v>1538100</v>
      </c>
      <c r="M120" s="630">
        <v>1</v>
      </c>
      <c r="N120" s="886">
        <f t="shared" si="10"/>
        <v>1538100</v>
      </c>
      <c r="O120" s="886" t="s">
        <v>41</v>
      </c>
      <c r="P120" s="1088" t="str">
        <f t="shared" si="12"/>
        <v>ACP</v>
      </c>
      <c r="Q120" s="1090">
        <v>6</v>
      </c>
      <c r="R120" s="771" t="s">
        <v>1900</v>
      </c>
      <c r="S120" s="984"/>
    </row>
    <row r="121" spans="1:19" s="1076" customFormat="1" x14ac:dyDescent="0.15">
      <c r="A121" s="1102" t="s">
        <v>1637</v>
      </c>
      <c r="B121" s="975" t="s">
        <v>1831</v>
      </c>
      <c r="C121" s="975"/>
      <c r="D121" s="975"/>
      <c r="E121" s="975"/>
      <c r="F121" s="975"/>
      <c r="G121" s="975"/>
      <c r="H121" s="975"/>
      <c r="I121" s="971">
        <v>0.1</v>
      </c>
      <c r="J121" s="886">
        <v>100300</v>
      </c>
      <c r="K121" s="886">
        <v>99300</v>
      </c>
      <c r="L121" s="886">
        <f t="shared" si="9"/>
        <v>199600</v>
      </c>
      <c r="M121" s="630">
        <v>1</v>
      </c>
      <c r="N121" s="886">
        <f t="shared" si="10"/>
        <v>199600</v>
      </c>
      <c r="O121" s="886"/>
      <c r="P121" s="1088" t="str">
        <f t="shared" si="12"/>
        <v>ACP</v>
      </c>
      <c r="Q121" s="1090">
        <v>6</v>
      </c>
      <c r="R121" s="771" t="s">
        <v>1904</v>
      </c>
      <c r="S121" s="984"/>
    </row>
    <row r="122" spans="1:19" s="1076" customFormat="1" x14ac:dyDescent="0.15">
      <c r="A122" s="1102" t="s">
        <v>1526</v>
      </c>
      <c r="B122" s="975" t="s">
        <v>1750</v>
      </c>
      <c r="C122" s="975"/>
      <c r="D122" s="975"/>
      <c r="E122" s="975"/>
      <c r="F122" s="975"/>
      <c r="G122" s="975"/>
      <c r="H122" s="975"/>
      <c r="I122" s="971">
        <v>0.2</v>
      </c>
      <c r="J122" s="886">
        <v>92600</v>
      </c>
      <c r="K122" s="886">
        <v>35900</v>
      </c>
      <c r="L122" s="886">
        <f t="shared" si="9"/>
        <v>128500</v>
      </c>
      <c r="M122" s="630">
        <v>1</v>
      </c>
      <c r="N122" s="886">
        <f t="shared" si="10"/>
        <v>128500</v>
      </c>
      <c r="O122" s="886" t="s">
        <v>41</v>
      </c>
      <c r="P122" s="1088" t="str">
        <f t="shared" si="12"/>
        <v>ACP</v>
      </c>
      <c r="Q122" s="1090">
        <v>6</v>
      </c>
      <c r="R122" s="771" t="s">
        <v>1897</v>
      </c>
      <c r="S122" s="984"/>
    </row>
    <row r="123" spans="1:19" s="1076" customFormat="1" x14ac:dyDescent="0.15">
      <c r="A123" s="1102" t="s">
        <v>1588</v>
      </c>
      <c r="B123" s="975" t="s">
        <v>1704</v>
      </c>
      <c r="C123" s="975"/>
      <c r="D123" s="975"/>
      <c r="E123" s="975"/>
      <c r="F123" s="975"/>
      <c r="G123" s="975"/>
      <c r="H123" s="975"/>
      <c r="I123" s="971">
        <v>0.01</v>
      </c>
      <c r="J123" s="886">
        <v>6500</v>
      </c>
      <c r="K123" s="886">
        <v>0</v>
      </c>
      <c r="L123" s="886">
        <f t="shared" si="9"/>
        <v>6500</v>
      </c>
      <c r="M123" s="630">
        <v>1</v>
      </c>
      <c r="N123" s="886">
        <f t="shared" si="10"/>
        <v>6500</v>
      </c>
      <c r="O123" s="886" t="s">
        <v>1902</v>
      </c>
      <c r="P123" s="1088" t="str">
        <f t="shared" si="12"/>
        <v>ACP</v>
      </c>
      <c r="Q123" s="1090">
        <v>6</v>
      </c>
      <c r="R123" s="771" t="s">
        <v>1903</v>
      </c>
      <c r="S123" s="984"/>
    </row>
    <row r="124" spans="1:19" s="1076" customFormat="1" x14ac:dyDescent="0.15">
      <c r="A124" s="1102" t="s">
        <v>1684</v>
      </c>
      <c r="B124" s="975" t="s">
        <v>1856</v>
      </c>
      <c r="C124" s="975"/>
      <c r="D124" s="975"/>
      <c r="E124" s="975"/>
      <c r="F124" s="975"/>
      <c r="G124" s="975"/>
      <c r="H124" s="975"/>
      <c r="I124" s="971">
        <v>0.21</v>
      </c>
      <c r="J124" s="886">
        <v>106900</v>
      </c>
      <c r="K124" s="886">
        <v>102300</v>
      </c>
      <c r="L124" s="886">
        <f t="shared" si="9"/>
        <v>209200</v>
      </c>
      <c r="M124" s="630">
        <v>0.55000000000000004</v>
      </c>
      <c r="N124" s="886">
        <f t="shared" si="10"/>
        <v>115060.00000000001</v>
      </c>
      <c r="O124" s="886" t="s">
        <v>1864</v>
      </c>
      <c r="P124" s="1088" t="str">
        <f t="shared" si="12"/>
        <v>ACP</v>
      </c>
      <c r="Q124" s="1090">
        <v>6</v>
      </c>
      <c r="R124" s="771" t="s">
        <v>1920</v>
      </c>
      <c r="S124" s="984"/>
    </row>
    <row r="125" spans="1:19" s="1076" customFormat="1" outlineLevel="1" x14ac:dyDescent="0.15">
      <c r="A125" s="1102" t="s">
        <v>1603</v>
      </c>
      <c r="B125" s="975" t="s">
        <v>1809</v>
      </c>
      <c r="C125" s="975"/>
      <c r="D125" s="975"/>
      <c r="E125" s="975"/>
      <c r="F125" s="975"/>
      <c r="G125" s="975"/>
      <c r="H125" s="975"/>
      <c r="I125" s="971">
        <v>0.59</v>
      </c>
      <c r="J125" s="886">
        <v>360500</v>
      </c>
      <c r="K125" s="886">
        <v>504800</v>
      </c>
      <c r="L125" s="886">
        <f t="shared" si="9"/>
        <v>865300</v>
      </c>
      <c r="M125" s="630">
        <v>1</v>
      </c>
      <c r="N125" s="886">
        <f t="shared" si="10"/>
        <v>865300</v>
      </c>
      <c r="O125" s="886" t="s">
        <v>41</v>
      </c>
      <c r="P125" s="1088" t="str">
        <f t="shared" si="12"/>
        <v>ACP</v>
      </c>
      <c r="Q125" s="1090">
        <v>6</v>
      </c>
      <c r="R125" s="771" t="s">
        <v>1914</v>
      </c>
      <c r="S125" s="984"/>
    </row>
    <row r="126" spans="1:19" s="1076" customFormat="1" outlineLevel="1" x14ac:dyDescent="0.15">
      <c r="A126" s="1102" t="s">
        <v>1555</v>
      </c>
      <c r="B126" s="975" t="s">
        <v>1772</v>
      </c>
      <c r="C126" s="975"/>
      <c r="D126" s="975"/>
      <c r="E126" s="975"/>
      <c r="F126" s="975"/>
      <c r="G126" s="975"/>
      <c r="H126" s="975"/>
      <c r="I126" s="971">
        <v>0.55000000000000004</v>
      </c>
      <c r="J126" s="886">
        <v>342900</v>
      </c>
      <c r="K126" s="886">
        <v>75900</v>
      </c>
      <c r="L126" s="886">
        <f t="shared" si="9"/>
        <v>418800</v>
      </c>
      <c r="M126" s="630">
        <v>1</v>
      </c>
      <c r="N126" s="886">
        <f t="shared" si="10"/>
        <v>418800</v>
      </c>
      <c r="O126" s="886" t="s">
        <v>41</v>
      </c>
      <c r="P126" s="1088" t="str">
        <f t="shared" si="12"/>
        <v>ACP</v>
      </c>
      <c r="Q126" s="1090">
        <v>6</v>
      </c>
      <c r="R126" s="771" t="s">
        <v>1913</v>
      </c>
      <c r="S126" s="984"/>
    </row>
    <row r="127" spans="1:19" s="1076" customFormat="1" outlineLevel="1" x14ac:dyDescent="0.15">
      <c r="A127" s="1102" t="s">
        <v>1621</v>
      </c>
      <c r="B127" s="975" t="s">
        <v>1822</v>
      </c>
      <c r="C127" s="975"/>
      <c r="D127" s="975"/>
      <c r="E127" s="975"/>
      <c r="F127" s="975"/>
      <c r="G127" s="975"/>
      <c r="H127" s="975"/>
      <c r="I127" s="971">
        <v>0.04</v>
      </c>
      <c r="J127" s="886">
        <v>1000</v>
      </c>
      <c r="K127" s="886">
        <v>2400</v>
      </c>
      <c r="L127" s="886">
        <f t="shared" si="9"/>
        <v>3400</v>
      </c>
      <c r="M127" s="630">
        <v>0</v>
      </c>
      <c r="N127" s="886">
        <f t="shared" si="10"/>
        <v>0</v>
      </c>
      <c r="O127" s="886" t="s">
        <v>1910</v>
      </c>
      <c r="P127" s="1088" t="str">
        <f t="shared" si="12"/>
        <v>ACP</v>
      </c>
      <c r="Q127" s="1090">
        <v>6</v>
      </c>
      <c r="R127" s="771" t="s">
        <v>1911</v>
      </c>
      <c r="S127" s="984"/>
    </row>
    <row r="128" spans="1:19" s="1076" customFormat="1" outlineLevel="1" x14ac:dyDescent="0.15">
      <c r="A128" s="1102" t="s">
        <v>1564</v>
      </c>
      <c r="B128" s="975" t="s">
        <v>1780</v>
      </c>
      <c r="C128" s="975"/>
      <c r="D128" s="975"/>
      <c r="E128" s="975"/>
      <c r="F128" s="975"/>
      <c r="G128" s="975"/>
      <c r="H128" s="975"/>
      <c r="I128" s="971">
        <v>0.44</v>
      </c>
      <c r="J128" s="886">
        <v>259800</v>
      </c>
      <c r="K128" s="886">
        <v>378200</v>
      </c>
      <c r="L128" s="886">
        <f t="shared" si="9"/>
        <v>638000</v>
      </c>
      <c r="M128" s="630">
        <v>1</v>
      </c>
      <c r="N128" s="886">
        <f t="shared" si="10"/>
        <v>638000</v>
      </c>
      <c r="O128" s="886" t="s">
        <v>41</v>
      </c>
      <c r="P128" s="1088" t="str">
        <f t="shared" si="12"/>
        <v>ACP</v>
      </c>
      <c r="Q128" s="1090">
        <v>6</v>
      </c>
      <c r="R128" s="771" t="s">
        <v>1908</v>
      </c>
      <c r="S128" s="984"/>
    </row>
    <row r="129" spans="1:19" s="1076" customFormat="1" outlineLevel="1" x14ac:dyDescent="0.15">
      <c r="A129" s="1102" t="s">
        <v>1661</v>
      </c>
      <c r="B129" s="975" t="s">
        <v>1842</v>
      </c>
      <c r="C129" s="975"/>
      <c r="D129" s="975"/>
      <c r="E129" s="975"/>
      <c r="F129" s="975"/>
      <c r="G129" s="975"/>
      <c r="H129" s="975"/>
      <c r="I129" s="971">
        <v>0.6</v>
      </c>
      <c r="J129" s="886">
        <v>579800</v>
      </c>
      <c r="K129" s="886">
        <v>314900</v>
      </c>
      <c r="L129" s="886">
        <f t="shared" ref="L129:L195" si="13">SUM(J129:K129)</f>
        <v>894700</v>
      </c>
      <c r="M129" s="630">
        <v>1</v>
      </c>
      <c r="N129" s="886">
        <f t="shared" ref="N129:N195" si="14">L129*M129</f>
        <v>894700</v>
      </c>
      <c r="O129" s="886" t="s">
        <v>41</v>
      </c>
      <c r="P129" s="1088" t="str">
        <f t="shared" si="12"/>
        <v>ACP</v>
      </c>
      <c r="Q129" s="1090">
        <v>6</v>
      </c>
      <c r="R129" s="771" t="s">
        <v>1909</v>
      </c>
      <c r="S129" s="984"/>
    </row>
    <row r="130" spans="1:19" s="1076" customFormat="1" outlineLevel="1" x14ac:dyDescent="0.15">
      <c r="A130" s="1102" t="s">
        <v>1604</v>
      </c>
      <c r="B130" s="975" t="s">
        <v>1810</v>
      </c>
      <c r="C130" s="975"/>
      <c r="D130" s="975"/>
      <c r="E130" s="975"/>
      <c r="F130" s="975"/>
      <c r="G130" s="975"/>
      <c r="H130" s="975"/>
      <c r="I130" s="971">
        <v>0.53</v>
      </c>
      <c r="J130" s="886">
        <v>333600</v>
      </c>
      <c r="K130" s="886">
        <v>250800</v>
      </c>
      <c r="L130" s="886">
        <f t="shared" si="13"/>
        <v>584400</v>
      </c>
      <c r="M130" s="630">
        <v>1</v>
      </c>
      <c r="N130" s="886">
        <f t="shared" si="14"/>
        <v>584400</v>
      </c>
      <c r="O130" s="886" t="s">
        <v>41</v>
      </c>
      <c r="P130" s="1088" t="str">
        <f t="shared" si="12"/>
        <v>ACP</v>
      </c>
      <c r="Q130" s="1090">
        <v>6</v>
      </c>
      <c r="R130" s="771" t="s">
        <v>1912</v>
      </c>
      <c r="S130" s="984"/>
    </row>
    <row r="131" spans="1:19" s="1076" customFormat="1" outlineLevel="1" x14ac:dyDescent="0.15">
      <c r="A131" s="1102" t="s">
        <v>1532</v>
      </c>
      <c r="B131" s="975" t="s">
        <v>1755</v>
      </c>
      <c r="C131" s="975"/>
      <c r="D131" s="975"/>
      <c r="E131" s="975"/>
      <c r="F131" s="975"/>
      <c r="G131" s="975"/>
      <c r="H131" s="975"/>
      <c r="I131" s="971">
        <v>0.38</v>
      </c>
      <c r="J131" s="886">
        <v>238600</v>
      </c>
      <c r="K131" s="886">
        <v>443200</v>
      </c>
      <c r="L131" s="886">
        <f t="shared" si="13"/>
        <v>681800</v>
      </c>
      <c r="M131" s="630">
        <v>1</v>
      </c>
      <c r="N131" s="886">
        <f t="shared" si="14"/>
        <v>681800</v>
      </c>
      <c r="O131" s="886" t="s">
        <v>41</v>
      </c>
      <c r="P131" s="1088" t="str">
        <f t="shared" si="12"/>
        <v>ACP</v>
      </c>
      <c r="Q131" s="1090">
        <v>6</v>
      </c>
      <c r="R131" s="771" t="s">
        <v>1907</v>
      </c>
      <c r="S131" s="984"/>
    </row>
    <row r="132" spans="1:19" s="1076" customFormat="1" outlineLevel="1" x14ac:dyDescent="0.15">
      <c r="A132" s="1102" t="s">
        <v>1518</v>
      </c>
      <c r="B132" s="975" t="s">
        <v>1743</v>
      </c>
      <c r="C132" s="975"/>
      <c r="D132" s="975"/>
      <c r="E132" s="975"/>
      <c r="F132" s="975"/>
      <c r="G132" s="975"/>
      <c r="H132" s="975"/>
      <c r="I132" s="971">
        <v>1.1599999999999999</v>
      </c>
      <c r="J132" s="886">
        <v>504000</v>
      </c>
      <c r="K132" s="886">
        <v>3255700</v>
      </c>
      <c r="L132" s="886">
        <f t="shared" si="13"/>
        <v>3759700</v>
      </c>
      <c r="M132" s="630">
        <v>1</v>
      </c>
      <c r="N132" s="886">
        <f t="shared" si="14"/>
        <v>3759700</v>
      </c>
      <c r="O132" s="886" t="s">
        <v>41</v>
      </c>
      <c r="P132" s="1088" t="str">
        <f t="shared" si="12"/>
        <v>ACP</v>
      </c>
      <c r="Q132" s="1090">
        <v>6</v>
      </c>
      <c r="R132" s="771" t="s">
        <v>1906</v>
      </c>
      <c r="S132" s="984"/>
    </row>
    <row r="133" spans="1:19" s="1076" customFormat="1" outlineLevel="1" x14ac:dyDescent="0.15">
      <c r="A133" s="1102" t="s">
        <v>1504</v>
      </c>
      <c r="B133" s="975" t="s">
        <v>1734</v>
      </c>
      <c r="C133" s="975"/>
      <c r="D133" s="975"/>
      <c r="E133" s="975"/>
      <c r="F133" s="975"/>
      <c r="G133" s="975"/>
      <c r="H133" s="975"/>
      <c r="I133" s="971">
        <v>0.33</v>
      </c>
      <c r="J133" s="886">
        <v>238000</v>
      </c>
      <c r="K133" s="886">
        <v>1005300</v>
      </c>
      <c r="L133" s="886">
        <f t="shared" si="13"/>
        <v>1243300</v>
      </c>
      <c r="M133" s="630">
        <v>1</v>
      </c>
      <c r="N133" s="886">
        <f t="shared" si="14"/>
        <v>1243300</v>
      </c>
      <c r="O133" s="886" t="s">
        <v>41</v>
      </c>
      <c r="P133" s="1088" t="str">
        <f t="shared" si="12"/>
        <v>ACP</v>
      </c>
      <c r="Q133" s="1090">
        <v>6</v>
      </c>
      <c r="R133" s="771" t="s">
        <v>1905</v>
      </c>
      <c r="S133" s="984"/>
    </row>
    <row r="134" spans="1:19" s="1076" customFormat="1" outlineLevel="1" x14ac:dyDescent="0.15">
      <c r="A134" s="1102" t="s">
        <v>1566</v>
      </c>
      <c r="B134" s="975" t="s">
        <v>1781</v>
      </c>
      <c r="C134" s="975"/>
      <c r="D134" s="975"/>
      <c r="E134" s="975"/>
      <c r="F134" s="975"/>
      <c r="G134" s="975"/>
      <c r="H134" s="975"/>
      <c r="I134" s="971">
        <v>0.01</v>
      </c>
      <c r="J134" s="886">
        <v>38200</v>
      </c>
      <c r="K134" s="886">
        <v>89200</v>
      </c>
      <c r="L134" s="886">
        <f t="shared" si="13"/>
        <v>127400</v>
      </c>
      <c r="M134" s="630">
        <v>0.55000000000000004</v>
      </c>
      <c r="N134" s="886">
        <f t="shared" si="14"/>
        <v>70070</v>
      </c>
      <c r="O134" s="886" t="s">
        <v>1865</v>
      </c>
      <c r="P134" s="1088" t="str">
        <f t="shared" si="12"/>
        <v>ACP</v>
      </c>
      <c r="Q134" s="1090">
        <v>6</v>
      </c>
      <c r="R134" s="771" t="s">
        <v>1894</v>
      </c>
      <c r="S134" s="984"/>
    </row>
    <row r="135" spans="1:19" s="1076" customFormat="1" outlineLevel="1" x14ac:dyDescent="0.15">
      <c r="A135" s="1102" t="s">
        <v>1477</v>
      </c>
      <c r="B135" s="975" t="s">
        <v>1707</v>
      </c>
      <c r="C135" s="975"/>
      <c r="D135" s="975"/>
      <c r="E135" s="975"/>
      <c r="F135" s="975"/>
      <c r="G135" s="975"/>
      <c r="H135" s="975"/>
      <c r="I135" s="971">
        <v>0.01</v>
      </c>
      <c r="J135" s="886">
        <v>39500</v>
      </c>
      <c r="K135" s="886">
        <v>92300</v>
      </c>
      <c r="L135" s="886">
        <f t="shared" si="13"/>
        <v>131800</v>
      </c>
      <c r="M135" s="630">
        <v>0.55000000000000004</v>
      </c>
      <c r="N135" s="886">
        <f t="shared" si="14"/>
        <v>72490</v>
      </c>
      <c r="O135" s="886" t="s">
        <v>1865</v>
      </c>
      <c r="P135" s="1088" t="str">
        <f t="shared" si="12"/>
        <v>ACP</v>
      </c>
      <c r="Q135" s="1090">
        <v>6</v>
      </c>
      <c r="R135" s="771" t="s">
        <v>1894</v>
      </c>
      <c r="S135" s="984"/>
    </row>
    <row r="136" spans="1:19" s="1076" customFormat="1" outlineLevel="1" x14ac:dyDescent="0.15">
      <c r="A136" s="1102" t="s">
        <v>1483</v>
      </c>
      <c r="B136" s="975" t="s">
        <v>1713</v>
      </c>
      <c r="C136" s="975"/>
      <c r="D136" s="975"/>
      <c r="E136" s="975"/>
      <c r="F136" s="975"/>
      <c r="G136" s="975"/>
      <c r="H136" s="975"/>
      <c r="I136" s="971">
        <v>0.01</v>
      </c>
      <c r="J136" s="886">
        <v>36400</v>
      </c>
      <c r="K136" s="886">
        <v>85100</v>
      </c>
      <c r="L136" s="886">
        <f t="shared" si="13"/>
        <v>121500</v>
      </c>
      <c r="M136" s="630">
        <v>0.55000000000000004</v>
      </c>
      <c r="N136" s="886">
        <f t="shared" si="14"/>
        <v>66825</v>
      </c>
      <c r="O136" s="886" t="s">
        <v>1865</v>
      </c>
      <c r="P136" s="1088" t="str">
        <f t="shared" si="12"/>
        <v>ACP</v>
      </c>
      <c r="Q136" s="1090">
        <v>6</v>
      </c>
      <c r="R136" s="771" t="s">
        <v>1894</v>
      </c>
      <c r="S136" s="984"/>
    </row>
    <row r="137" spans="1:19" s="1076" customFormat="1" outlineLevel="1" x14ac:dyDescent="0.15">
      <c r="A137" s="1102" t="s">
        <v>1563</v>
      </c>
      <c r="B137" s="975" t="s">
        <v>1779</v>
      </c>
      <c r="C137" s="975"/>
      <c r="D137" s="975"/>
      <c r="E137" s="975"/>
      <c r="F137" s="975"/>
      <c r="G137" s="975"/>
      <c r="H137" s="975"/>
      <c r="I137" s="971">
        <f t="shared" ref="I137:I169" si="15">I136</f>
        <v>0.01</v>
      </c>
      <c r="J137" s="886">
        <v>39500</v>
      </c>
      <c r="K137" s="886">
        <v>92300</v>
      </c>
      <c r="L137" s="886">
        <f t="shared" si="13"/>
        <v>131800</v>
      </c>
      <c r="M137" s="630">
        <v>0.55000000000000004</v>
      </c>
      <c r="N137" s="886">
        <f t="shared" si="14"/>
        <v>72490</v>
      </c>
      <c r="O137" s="886" t="s">
        <v>1865</v>
      </c>
      <c r="P137" s="1088" t="str">
        <f t="shared" si="12"/>
        <v>ACP</v>
      </c>
      <c r="Q137" s="1090">
        <v>6</v>
      </c>
      <c r="R137" s="771" t="s">
        <v>1894</v>
      </c>
      <c r="S137" s="984"/>
    </row>
    <row r="138" spans="1:19" s="1076" customFormat="1" outlineLevel="1" x14ac:dyDescent="0.15">
      <c r="A138" s="1102" t="s">
        <v>1679</v>
      </c>
      <c r="B138" s="975" t="s">
        <v>1852</v>
      </c>
      <c r="C138" s="975"/>
      <c r="D138" s="975"/>
      <c r="E138" s="975"/>
      <c r="F138" s="975"/>
      <c r="G138" s="975"/>
      <c r="H138" s="975"/>
      <c r="I138" s="971">
        <f t="shared" si="15"/>
        <v>0.01</v>
      </c>
      <c r="J138" s="886">
        <v>37300</v>
      </c>
      <c r="K138" s="886">
        <v>87100</v>
      </c>
      <c r="L138" s="886">
        <f t="shared" si="13"/>
        <v>124400</v>
      </c>
      <c r="M138" s="630">
        <v>0.55000000000000004</v>
      </c>
      <c r="N138" s="886">
        <f t="shared" si="14"/>
        <v>68420</v>
      </c>
      <c r="O138" s="886" t="s">
        <v>1865</v>
      </c>
      <c r="P138" s="1088" t="str">
        <f t="shared" ref="P138:P169" si="16">P137</f>
        <v>ACP</v>
      </c>
      <c r="Q138" s="1090">
        <v>6</v>
      </c>
      <c r="R138" s="771" t="s">
        <v>1894</v>
      </c>
      <c r="S138" s="984"/>
    </row>
    <row r="139" spans="1:19" s="1076" customFormat="1" outlineLevel="1" x14ac:dyDescent="0.15">
      <c r="A139" s="1102" t="s">
        <v>1649</v>
      </c>
      <c r="B139" s="975" t="s">
        <v>1837</v>
      </c>
      <c r="C139" s="975"/>
      <c r="D139" s="975"/>
      <c r="E139" s="975"/>
      <c r="F139" s="975"/>
      <c r="G139" s="975"/>
      <c r="H139" s="975"/>
      <c r="I139" s="971">
        <f t="shared" si="15"/>
        <v>0.01</v>
      </c>
      <c r="J139" s="886">
        <v>39500</v>
      </c>
      <c r="K139" s="886">
        <v>92300</v>
      </c>
      <c r="L139" s="886">
        <f t="shared" si="13"/>
        <v>131800</v>
      </c>
      <c r="M139" s="630">
        <v>0.55000000000000004</v>
      </c>
      <c r="N139" s="886">
        <f t="shared" si="14"/>
        <v>72490</v>
      </c>
      <c r="O139" s="886" t="s">
        <v>1865</v>
      </c>
      <c r="P139" s="1088" t="str">
        <f t="shared" si="16"/>
        <v>ACP</v>
      </c>
      <c r="Q139" s="1090">
        <v>6</v>
      </c>
      <c r="R139" s="771" t="s">
        <v>1894</v>
      </c>
      <c r="S139" s="984"/>
    </row>
    <row r="140" spans="1:19" s="1076" customFormat="1" outlineLevel="1" x14ac:dyDescent="0.15">
      <c r="A140" s="1102" t="s">
        <v>1627</v>
      </c>
      <c r="B140" s="975" t="s">
        <v>1727</v>
      </c>
      <c r="C140" s="975"/>
      <c r="D140" s="975"/>
      <c r="E140" s="975"/>
      <c r="F140" s="975"/>
      <c r="G140" s="975"/>
      <c r="H140" s="975"/>
      <c r="I140" s="971">
        <f t="shared" si="15"/>
        <v>0.01</v>
      </c>
      <c r="J140" s="886">
        <v>36400</v>
      </c>
      <c r="K140" s="886">
        <v>85100</v>
      </c>
      <c r="L140" s="886">
        <f t="shared" si="13"/>
        <v>121500</v>
      </c>
      <c r="M140" s="630">
        <v>0.55000000000000004</v>
      </c>
      <c r="N140" s="886">
        <f t="shared" si="14"/>
        <v>66825</v>
      </c>
      <c r="O140" s="886" t="s">
        <v>1865</v>
      </c>
      <c r="P140" s="1088" t="str">
        <f t="shared" si="16"/>
        <v>ACP</v>
      </c>
      <c r="Q140" s="1090">
        <v>6</v>
      </c>
      <c r="R140" s="771" t="s">
        <v>1894</v>
      </c>
      <c r="S140" s="984"/>
    </row>
    <row r="141" spans="1:19" s="1076" customFormat="1" outlineLevel="1" x14ac:dyDescent="0.15">
      <c r="A141" s="1102" t="s">
        <v>1693</v>
      </c>
      <c r="B141" s="975" t="s">
        <v>1710</v>
      </c>
      <c r="C141" s="975"/>
      <c r="D141" s="975"/>
      <c r="E141" s="975"/>
      <c r="F141" s="975"/>
      <c r="G141" s="975"/>
      <c r="H141" s="975"/>
      <c r="I141" s="971">
        <f t="shared" si="15"/>
        <v>0.01</v>
      </c>
      <c r="J141" s="886">
        <v>39500</v>
      </c>
      <c r="K141" s="886">
        <v>92300</v>
      </c>
      <c r="L141" s="886">
        <f t="shared" si="13"/>
        <v>131800</v>
      </c>
      <c r="M141" s="630">
        <v>0.55000000000000004</v>
      </c>
      <c r="N141" s="886">
        <f t="shared" si="14"/>
        <v>72490</v>
      </c>
      <c r="O141" s="886" t="s">
        <v>1865</v>
      </c>
      <c r="P141" s="1088" t="str">
        <f t="shared" si="16"/>
        <v>ACP</v>
      </c>
      <c r="Q141" s="1090">
        <v>6</v>
      </c>
      <c r="R141" s="771" t="s">
        <v>1894</v>
      </c>
      <c r="S141" s="984"/>
    </row>
    <row r="142" spans="1:19" s="1076" customFormat="1" outlineLevel="1" x14ac:dyDescent="0.15">
      <c r="A142" s="1102" t="s">
        <v>1646</v>
      </c>
      <c r="B142" s="975" t="s">
        <v>1835</v>
      </c>
      <c r="C142" s="975"/>
      <c r="D142" s="975"/>
      <c r="E142" s="975"/>
      <c r="F142" s="975"/>
      <c r="G142" s="975"/>
      <c r="H142" s="975"/>
      <c r="I142" s="971">
        <f t="shared" si="15"/>
        <v>0.01</v>
      </c>
      <c r="J142" s="886">
        <v>36700</v>
      </c>
      <c r="K142" s="886">
        <v>85700</v>
      </c>
      <c r="L142" s="886">
        <f t="shared" si="13"/>
        <v>122400</v>
      </c>
      <c r="M142" s="630">
        <v>0.55000000000000004</v>
      </c>
      <c r="N142" s="886">
        <f t="shared" si="14"/>
        <v>67320</v>
      </c>
      <c r="O142" s="886" t="s">
        <v>1865</v>
      </c>
      <c r="P142" s="1088" t="str">
        <f t="shared" si="16"/>
        <v>ACP</v>
      </c>
      <c r="Q142" s="1090">
        <v>6</v>
      </c>
      <c r="R142" s="771" t="s">
        <v>1894</v>
      </c>
      <c r="S142" s="984"/>
    </row>
    <row r="143" spans="1:19" s="1076" customFormat="1" outlineLevel="1" x14ac:dyDescent="0.15">
      <c r="A143" s="1102" t="s">
        <v>1698</v>
      </c>
      <c r="B143" s="975" t="s">
        <v>1862</v>
      </c>
      <c r="C143" s="975"/>
      <c r="D143" s="975"/>
      <c r="E143" s="975"/>
      <c r="F143" s="975"/>
      <c r="G143" s="975"/>
      <c r="H143" s="975"/>
      <c r="I143" s="971">
        <f t="shared" si="15"/>
        <v>0.01</v>
      </c>
      <c r="J143" s="886">
        <v>40500</v>
      </c>
      <c r="K143" s="886">
        <v>94500</v>
      </c>
      <c r="L143" s="886">
        <f t="shared" si="13"/>
        <v>135000</v>
      </c>
      <c r="M143" s="630">
        <v>0.55000000000000004</v>
      </c>
      <c r="N143" s="886">
        <f t="shared" si="14"/>
        <v>74250</v>
      </c>
      <c r="O143" s="886" t="s">
        <v>1865</v>
      </c>
      <c r="P143" s="1088" t="str">
        <f t="shared" si="16"/>
        <v>ACP</v>
      </c>
      <c r="Q143" s="1090">
        <v>6</v>
      </c>
      <c r="R143" s="771" t="s">
        <v>1894</v>
      </c>
      <c r="S143" s="984"/>
    </row>
    <row r="144" spans="1:19" s="1076" customFormat="1" outlineLevel="1" x14ac:dyDescent="0.15">
      <c r="A144" s="1102" t="s">
        <v>1497</v>
      </c>
      <c r="B144" s="975" t="s">
        <v>1727</v>
      </c>
      <c r="C144" s="975"/>
      <c r="D144" s="975"/>
      <c r="E144" s="975"/>
      <c r="F144" s="975"/>
      <c r="G144" s="975"/>
      <c r="H144" s="975"/>
      <c r="I144" s="971">
        <f t="shared" si="15"/>
        <v>0.01</v>
      </c>
      <c r="J144" s="886">
        <v>36400</v>
      </c>
      <c r="K144" s="886">
        <v>85100</v>
      </c>
      <c r="L144" s="886">
        <f t="shared" si="13"/>
        <v>121500</v>
      </c>
      <c r="M144" s="630">
        <v>0.55000000000000004</v>
      </c>
      <c r="N144" s="886">
        <f t="shared" si="14"/>
        <v>66825</v>
      </c>
      <c r="O144" s="886" t="s">
        <v>1865</v>
      </c>
      <c r="P144" s="1088" t="str">
        <f t="shared" si="16"/>
        <v>ACP</v>
      </c>
      <c r="Q144" s="1090">
        <v>6</v>
      </c>
      <c r="R144" s="771" t="s">
        <v>1894</v>
      </c>
      <c r="S144" s="984"/>
    </row>
    <row r="145" spans="1:19" s="1076" customFormat="1" outlineLevel="1" x14ac:dyDescent="0.15">
      <c r="A145" s="1102" t="s">
        <v>1513</v>
      </c>
      <c r="B145" s="975" t="s">
        <v>1739</v>
      </c>
      <c r="C145" s="975"/>
      <c r="D145" s="975"/>
      <c r="E145" s="975"/>
      <c r="F145" s="975"/>
      <c r="G145" s="975"/>
      <c r="H145" s="975"/>
      <c r="I145" s="971">
        <f t="shared" si="15"/>
        <v>0.01</v>
      </c>
      <c r="J145" s="886">
        <v>39800</v>
      </c>
      <c r="K145" s="886">
        <v>92900</v>
      </c>
      <c r="L145" s="886">
        <f t="shared" si="13"/>
        <v>132700</v>
      </c>
      <c r="M145" s="630">
        <v>0.55000000000000004</v>
      </c>
      <c r="N145" s="886">
        <f t="shared" si="14"/>
        <v>72985</v>
      </c>
      <c r="O145" s="886" t="s">
        <v>1865</v>
      </c>
      <c r="P145" s="1088" t="str">
        <f t="shared" si="16"/>
        <v>ACP</v>
      </c>
      <c r="Q145" s="1090">
        <v>6</v>
      </c>
      <c r="R145" s="771" t="s">
        <v>1894</v>
      </c>
      <c r="S145" s="984"/>
    </row>
    <row r="146" spans="1:19" s="1076" customFormat="1" outlineLevel="1" x14ac:dyDescent="0.15">
      <c r="A146" s="1102" t="s">
        <v>1561</v>
      </c>
      <c r="B146" s="975" t="s">
        <v>1777</v>
      </c>
      <c r="C146" s="975"/>
      <c r="D146" s="975"/>
      <c r="E146" s="975"/>
      <c r="F146" s="975"/>
      <c r="G146" s="975"/>
      <c r="H146" s="975"/>
      <c r="I146" s="971">
        <f t="shared" si="15"/>
        <v>0.01</v>
      </c>
      <c r="J146" s="886">
        <v>37300</v>
      </c>
      <c r="K146" s="886">
        <v>87100</v>
      </c>
      <c r="L146" s="886">
        <f t="shared" si="13"/>
        <v>124400</v>
      </c>
      <c r="M146" s="630">
        <v>0.55000000000000004</v>
      </c>
      <c r="N146" s="886">
        <f t="shared" si="14"/>
        <v>68420</v>
      </c>
      <c r="O146" s="886" t="s">
        <v>1865</v>
      </c>
      <c r="P146" s="1088" t="str">
        <f t="shared" si="16"/>
        <v>ACP</v>
      </c>
      <c r="Q146" s="1090">
        <v>6</v>
      </c>
      <c r="R146" s="771" t="s">
        <v>1894</v>
      </c>
      <c r="S146" s="984"/>
    </row>
    <row r="147" spans="1:19" s="1076" customFormat="1" outlineLevel="1" x14ac:dyDescent="0.15">
      <c r="A147" s="1102" t="s">
        <v>1568</v>
      </c>
      <c r="B147" s="975" t="s">
        <v>1783</v>
      </c>
      <c r="C147" s="975"/>
      <c r="D147" s="975"/>
      <c r="E147" s="975"/>
      <c r="F147" s="975"/>
      <c r="G147" s="975"/>
      <c r="H147" s="975"/>
      <c r="I147" s="971">
        <f t="shared" si="15"/>
        <v>0.01</v>
      </c>
      <c r="J147" s="886">
        <v>40500</v>
      </c>
      <c r="K147" s="886">
        <v>94500</v>
      </c>
      <c r="L147" s="886">
        <f t="shared" si="13"/>
        <v>135000</v>
      </c>
      <c r="M147" s="630">
        <v>0.55000000000000004</v>
      </c>
      <c r="N147" s="886">
        <f t="shared" si="14"/>
        <v>74250</v>
      </c>
      <c r="O147" s="886" t="s">
        <v>1865</v>
      </c>
      <c r="P147" s="1088" t="str">
        <f t="shared" si="16"/>
        <v>ACP</v>
      </c>
      <c r="Q147" s="1090">
        <v>6</v>
      </c>
      <c r="R147" s="771" t="s">
        <v>1894</v>
      </c>
      <c r="S147" s="984"/>
    </row>
    <row r="148" spans="1:19" s="1076" customFormat="1" outlineLevel="1" x14ac:dyDescent="0.15">
      <c r="A148" s="1102" t="s">
        <v>1527</v>
      </c>
      <c r="B148" s="975" t="s">
        <v>1751</v>
      </c>
      <c r="C148" s="975"/>
      <c r="D148" s="975"/>
      <c r="E148" s="975"/>
      <c r="F148" s="975"/>
      <c r="G148" s="975"/>
      <c r="H148" s="975"/>
      <c r="I148" s="971">
        <f t="shared" si="15"/>
        <v>0.01</v>
      </c>
      <c r="J148" s="886">
        <v>39800</v>
      </c>
      <c r="K148" s="886">
        <v>92900</v>
      </c>
      <c r="L148" s="886">
        <f t="shared" si="13"/>
        <v>132700</v>
      </c>
      <c r="M148" s="630">
        <v>0.55000000000000004</v>
      </c>
      <c r="N148" s="886">
        <f t="shared" si="14"/>
        <v>72985</v>
      </c>
      <c r="O148" s="886" t="s">
        <v>1865</v>
      </c>
      <c r="P148" s="1088" t="str">
        <f t="shared" si="16"/>
        <v>ACP</v>
      </c>
      <c r="Q148" s="1090">
        <v>6</v>
      </c>
      <c r="R148" s="771" t="s">
        <v>1894</v>
      </c>
      <c r="S148" s="984"/>
    </row>
    <row r="149" spans="1:19" s="1076" customFormat="1" outlineLevel="1" x14ac:dyDescent="0.15">
      <c r="A149" s="1102" t="s">
        <v>1562</v>
      </c>
      <c r="B149" s="975" t="s">
        <v>1778</v>
      </c>
      <c r="C149" s="975"/>
      <c r="D149" s="975"/>
      <c r="E149" s="975"/>
      <c r="F149" s="975"/>
      <c r="G149" s="975"/>
      <c r="H149" s="975"/>
      <c r="I149" s="971">
        <f t="shared" si="15"/>
        <v>0.01</v>
      </c>
      <c r="J149" s="886">
        <v>39500</v>
      </c>
      <c r="K149" s="886">
        <v>92300</v>
      </c>
      <c r="L149" s="886">
        <f t="shared" si="13"/>
        <v>131800</v>
      </c>
      <c r="M149" s="630">
        <v>0.55000000000000004</v>
      </c>
      <c r="N149" s="886">
        <f t="shared" si="14"/>
        <v>72490</v>
      </c>
      <c r="O149" s="886" t="s">
        <v>1865</v>
      </c>
      <c r="P149" s="1088" t="str">
        <f t="shared" si="16"/>
        <v>ACP</v>
      </c>
      <c r="Q149" s="1090">
        <v>6</v>
      </c>
      <c r="R149" s="771" t="s">
        <v>1894</v>
      </c>
      <c r="S149" s="984"/>
    </row>
    <row r="150" spans="1:19" s="1076" customFormat="1" outlineLevel="1" x14ac:dyDescent="0.15">
      <c r="A150" s="1102" t="s">
        <v>1659</v>
      </c>
      <c r="B150" s="975" t="s">
        <v>1724</v>
      </c>
      <c r="C150" s="975"/>
      <c r="D150" s="975"/>
      <c r="E150" s="975"/>
      <c r="F150" s="975"/>
      <c r="G150" s="975"/>
      <c r="H150" s="975"/>
      <c r="I150" s="971">
        <f t="shared" si="15"/>
        <v>0.01</v>
      </c>
      <c r="J150" s="886">
        <v>36400</v>
      </c>
      <c r="K150" s="886">
        <v>85100</v>
      </c>
      <c r="L150" s="886">
        <f t="shared" si="13"/>
        <v>121500</v>
      </c>
      <c r="M150" s="630">
        <v>0.55000000000000004</v>
      </c>
      <c r="N150" s="886">
        <f t="shared" si="14"/>
        <v>66825</v>
      </c>
      <c r="O150" s="886" t="s">
        <v>1865</v>
      </c>
      <c r="P150" s="1088" t="str">
        <f t="shared" si="16"/>
        <v>ACP</v>
      </c>
      <c r="Q150" s="1090">
        <v>6</v>
      </c>
      <c r="R150" s="771" t="s">
        <v>1894</v>
      </c>
      <c r="S150" s="984"/>
    </row>
    <row r="151" spans="1:19" s="1076" customFormat="1" outlineLevel="1" x14ac:dyDescent="0.15">
      <c r="A151" s="1102" t="s">
        <v>1696</v>
      </c>
      <c r="B151" s="975" t="s">
        <v>1724</v>
      </c>
      <c r="C151" s="975"/>
      <c r="D151" s="975"/>
      <c r="E151" s="975"/>
      <c r="F151" s="975"/>
      <c r="G151" s="975"/>
      <c r="H151" s="975"/>
      <c r="I151" s="971">
        <f t="shared" si="15"/>
        <v>0.01</v>
      </c>
      <c r="J151" s="886">
        <v>39500</v>
      </c>
      <c r="K151" s="886">
        <v>92300</v>
      </c>
      <c r="L151" s="886">
        <f t="shared" si="13"/>
        <v>131800</v>
      </c>
      <c r="M151" s="630">
        <v>0.55000000000000004</v>
      </c>
      <c r="N151" s="886">
        <f t="shared" si="14"/>
        <v>72490</v>
      </c>
      <c r="O151" s="886" t="s">
        <v>1865</v>
      </c>
      <c r="P151" s="1088" t="str">
        <f t="shared" si="16"/>
        <v>ACP</v>
      </c>
      <c r="Q151" s="1090">
        <v>6</v>
      </c>
      <c r="R151" s="771" t="s">
        <v>1894</v>
      </c>
      <c r="S151" s="984"/>
    </row>
    <row r="152" spans="1:19" s="1076" customFormat="1" outlineLevel="1" x14ac:dyDescent="0.15">
      <c r="A152" s="1102" t="s">
        <v>1528</v>
      </c>
      <c r="B152" s="975" t="s">
        <v>1752</v>
      </c>
      <c r="C152" s="975"/>
      <c r="D152" s="975"/>
      <c r="E152" s="975"/>
      <c r="F152" s="975"/>
      <c r="G152" s="975"/>
      <c r="H152" s="975"/>
      <c r="I152" s="971">
        <f t="shared" si="15"/>
        <v>0.01</v>
      </c>
      <c r="J152" s="886">
        <v>37800</v>
      </c>
      <c r="K152" s="886">
        <v>88200</v>
      </c>
      <c r="L152" s="886">
        <f t="shared" si="13"/>
        <v>126000</v>
      </c>
      <c r="M152" s="630">
        <v>0.55000000000000004</v>
      </c>
      <c r="N152" s="886">
        <f t="shared" si="14"/>
        <v>69300</v>
      </c>
      <c r="O152" s="886" t="s">
        <v>1865</v>
      </c>
      <c r="P152" s="1088" t="str">
        <f t="shared" si="16"/>
        <v>ACP</v>
      </c>
      <c r="Q152" s="1090">
        <v>6</v>
      </c>
      <c r="R152" s="771" t="s">
        <v>1894</v>
      </c>
      <c r="S152" s="984"/>
    </row>
    <row r="153" spans="1:19" s="1076" customFormat="1" outlineLevel="1" x14ac:dyDescent="0.15">
      <c r="A153" s="1102" t="s">
        <v>1692</v>
      </c>
      <c r="B153" s="975" t="s">
        <v>1860</v>
      </c>
      <c r="C153" s="975"/>
      <c r="D153" s="975"/>
      <c r="E153" s="975"/>
      <c r="F153" s="975"/>
      <c r="G153" s="975"/>
      <c r="H153" s="975"/>
      <c r="I153" s="971">
        <f t="shared" si="15"/>
        <v>0.01</v>
      </c>
      <c r="J153" s="886">
        <v>41000</v>
      </c>
      <c r="K153" s="886">
        <v>95600</v>
      </c>
      <c r="L153" s="886">
        <f t="shared" si="13"/>
        <v>136600</v>
      </c>
      <c r="M153" s="630">
        <v>0.55000000000000004</v>
      </c>
      <c r="N153" s="886">
        <f t="shared" si="14"/>
        <v>75130</v>
      </c>
      <c r="O153" s="886" t="s">
        <v>1865</v>
      </c>
      <c r="P153" s="1088" t="str">
        <f t="shared" si="16"/>
        <v>ACP</v>
      </c>
      <c r="Q153" s="1090">
        <v>6</v>
      </c>
      <c r="R153" s="771" t="s">
        <v>1894</v>
      </c>
      <c r="S153" s="984"/>
    </row>
    <row r="154" spans="1:19" s="1076" customFormat="1" outlineLevel="1" x14ac:dyDescent="0.15">
      <c r="A154" s="1102" t="s">
        <v>1638</v>
      </c>
      <c r="B154" s="975" t="s">
        <v>1715</v>
      </c>
      <c r="C154" s="975"/>
      <c r="D154" s="975"/>
      <c r="E154" s="975"/>
      <c r="F154" s="975"/>
      <c r="G154" s="975"/>
      <c r="H154" s="975"/>
      <c r="I154" s="971">
        <f t="shared" si="15"/>
        <v>0.01</v>
      </c>
      <c r="J154" s="886">
        <v>36400</v>
      </c>
      <c r="K154" s="886">
        <v>85100</v>
      </c>
      <c r="L154" s="886">
        <f t="shared" si="13"/>
        <v>121500</v>
      </c>
      <c r="M154" s="630">
        <v>0.55000000000000004</v>
      </c>
      <c r="N154" s="886">
        <f t="shared" si="14"/>
        <v>66825</v>
      </c>
      <c r="O154" s="886" t="s">
        <v>1865</v>
      </c>
      <c r="P154" s="1088" t="str">
        <f t="shared" si="16"/>
        <v>ACP</v>
      </c>
      <c r="Q154" s="1090">
        <v>6</v>
      </c>
      <c r="R154" s="771" t="s">
        <v>1894</v>
      </c>
      <c r="S154" s="984"/>
    </row>
    <row r="155" spans="1:19" s="1076" customFormat="1" outlineLevel="1" x14ac:dyDescent="0.15">
      <c r="A155" s="1102" t="s">
        <v>1485</v>
      </c>
      <c r="B155" s="975" t="s">
        <v>1715</v>
      </c>
      <c r="C155" s="975"/>
      <c r="D155" s="975"/>
      <c r="E155" s="975"/>
      <c r="F155" s="975"/>
      <c r="G155" s="975"/>
      <c r="H155" s="975"/>
      <c r="I155" s="971">
        <f t="shared" si="15"/>
        <v>0.01</v>
      </c>
      <c r="J155" s="886">
        <v>39500</v>
      </c>
      <c r="K155" s="886">
        <v>92300</v>
      </c>
      <c r="L155" s="886">
        <f t="shared" si="13"/>
        <v>131800</v>
      </c>
      <c r="M155" s="630">
        <v>0.55000000000000004</v>
      </c>
      <c r="N155" s="886">
        <f t="shared" si="14"/>
        <v>72490</v>
      </c>
      <c r="O155" s="886" t="s">
        <v>1865</v>
      </c>
      <c r="P155" s="1088" t="str">
        <f t="shared" si="16"/>
        <v>ACP</v>
      </c>
      <c r="Q155" s="1090">
        <v>6</v>
      </c>
      <c r="R155" s="771" t="s">
        <v>1894</v>
      </c>
      <c r="S155" s="984"/>
    </row>
    <row r="156" spans="1:19" s="1076" customFormat="1" outlineLevel="1" x14ac:dyDescent="0.15">
      <c r="A156" s="1102" t="s">
        <v>1674</v>
      </c>
      <c r="B156" s="975" t="s">
        <v>1849</v>
      </c>
      <c r="C156" s="975"/>
      <c r="D156" s="975"/>
      <c r="E156" s="975"/>
      <c r="F156" s="975"/>
      <c r="G156" s="975"/>
      <c r="H156" s="975"/>
      <c r="I156" s="971">
        <f t="shared" si="15"/>
        <v>0.01</v>
      </c>
      <c r="J156" s="886">
        <v>36400</v>
      </c>
      <c r="K156" s="886">
        <v>85100</v>
      </c>
      <c r="L156" s="886">
        <f t="shared" si="13"/>
        <v>121500</v>
      </c>
      <c r="M156" s="630">
        <v>0.55000000000000004</v>
      </c>
      <c r="N156" s="886">
        <f t="shared" si="14"/>
        <v>66825</v>
      </c>
      <c r="O156" s="886" t="s">
        <v>1865</v>
      </c>
      <c r="P156" s="1088" t="str">
        <f t="shared" si="16"/>
        <v>ACP</v>
      </c>
      <c r="Q156" s="1090">
        <v>6</v>
      </c>
      <c r="R156" s="771" t="s">
        <v>1894</v>
      </c>
      <c r="S156" s="984"/>
    </row>
    <row r="157" spans="1:19" s="1076" customFormat="1" outlineLevel="1" x14ac:dyDescent="0.15">
      <c r="A157" s="1102" t="s">
        <v>1600</v>
      </c>
      <c r="B157" s="975" t="s">
        <v>1807</v>
      </c>
      <c r="C157" s="975"/>
      <c r="D157" s="975"/>
      <c r="E157" s="975"/>
      <c r="F157" s="975"/>
      <c r="G157" s="975"/>
      <c r="H157" s="975"/>
      <c r="I157" s="971">
        <f t="shared" si="15"/>
        <v>0.01</v>
      </c>
      <c r="J157" s="886">
        <v>42700</v>
      </c>
      <c r="K157" s="886">
        <v>99600</v>
      </c>
      <c r="L157" s="886">
        <f t="shared" si="13"/>
        <v>142300</v>
      </c>
      <c r="M157" s="630">
        <v>0.55000000000000004</v>
      </c>
      <c r="N157" s="886">
        <f t="shared" si="14"/>
        <v>78265</v>
      </c>
      <c r="O157" s="886" t="s">
        <v>1865</v>
      </c>
      <c r="P157" s="1088" t="str">
        <f t="shared" si="16"/>
        <v>ACP</v>
      </c>
      <c r="Q157" s="1090">
        <v>6</v>
      </c>
      <c r="R157" s="771" t="s">
        <v>1894</v>
      </c>
      <c r="S157" s="984"/>
    </row>
    <row r="158" spans="1:19" s="1076" customFormat="1" outlineLevel="1" x14ac:dyDescent="0.15">
      <c r="A158" s="1102" t="s">
        <v>1556</v>
      </c>
      <c r="B158" s="975" t="s">
        <v>1773</v>
      </c>
      <c r="C158" s="975"/>
      <c r="D158" s="975"/>
      <c r="E158" s="975"/>
      <c r="F158" s="975"/>
      <c r="G158" s="975"/>
      <c r="H158" s="975"/>
      <c r="I158" s="971">
        <f t="shared" si="15"/>
        <v>0.01</v>
      </c>
      <c r="J158" s="886">
        <v>36400</v>
      </c>
      <c r="K158" s="886">
        <v>85100</v>
      </c>
      <c r="L158" s="886">
        <f t="shared" si="13"/>
        <v>121500</v>
      </c>
      <c r="M158" s="630">
        <v>0.55000000000000004</v>
      </c>
      <c r="N158" s="886">
        <f t="shared" si="14"/>
        <v>66825</v>
      </c>
      <c r="O158" s="886" t="s">
        <v>1865</v>
      </c>
      <c r="P158" s="1088" t="str">
        <f t="shared" si="16"/>
        <v>ACP</v>
      </c>
      <c r="Q158" s="1090">
        <v>6</v>
      </c>
      <c r="R158" s="771" t="s">
        <v>1894</v>
      </c>
      <c r="S158" s="984"/>
    </row>
    <row r="159" spans="1:19" s="1076" customFormat="1" outlineLevel="1" x14ac:dyDescent="0.15">
      <c r="A159" s="1102" t="s">
        <v>1480</v>
      </c>
      <c r="B159" s="975" t="s">
        <v>1710</v>
      </c>
      <c r="C159" s="975"/>
      <c r="D159" s="975"/>
      <c r="E159" s="975"/>
      <c r="F159" s="975"/>
      <c r="G159" s="975"/>
      <c r="H159" s="975"/>
      <c r="I159" s="971">
        <f t="shared" si="15"/>
        <v>0.01</v>
      </c>
      <c r="J159" s="886">
        <v>39500</v>
      </c>
      <c r="K159" s="886">
        <v>92300</v>
      </c>
      <c r="L159" s="886">
        <f t="shared" si="13"/>
        <v>131800</v>
      </c>
      <c r="M159" s="630">
        <v>0.55000000000000004</v>
      </c>
      <c r="N159" s="886">
        <f t="shared" si="14"/>
        <v>72490</v>
      </c>
      <c r="O159" s="886" t="s">
        <v>1865</v>
      </c>
      <c r="P159" s="1088" t="str">
        <f t="shared" si="16"/>
        <v>ACP</v>
      </c>
      <c r="Q159" s="1090">
        <v>6</v>
      </c>
      <c r="R159" s="771" t="s">
        <v>1894</v>
      </c>
      <c r="S159" s="984"/>
    </row>
    <row r="160" spans="1:19" s="1076" customFormat="1" outlineLevel="1" x14ac:dyDescent="0.15">
      <c r="A160" s="1102" t="s">
        <v>1494</v>
      </c>
      <c r="B160" s="975" t="s">
        <v>1724</v>
      </c>
      <c r="C160" s="975"/>
      <c r="D160" s="975"/>
      <c r="E160" s="975"/>
      <c r="F160" s="975"/>
      <c r="G160" s="975"/>
      <c r="H160" s="975"/>
      <c r="I160" s="971">
        <f t="shared" si="15"/>
        <v>0.01</v>
      </c>
      <c r="J160" s="886">
        <v>36400</v>
      </c>
      <c r="K160" s="886">
        <v>85100</v>
      </c>
      <c r="L160" s="886">
        <f t="shared" si="13"/>
        <v>121500</v>
      </c>
      <c r="M160" s="630">
        <v>0.55000000000000004</v>
      </c>
      <c r="N160" s="886">
        <f t="shared" si="14"/>
        <v>66825</v>
      </c>
      <c r="O160" s="886" t="s">
        <v>1865</v>
      </c>
      <c r="P160" s="1088" t="str">
        <f t="shared" si="16"/>
        <v>ACP</v>
      </c>
      <c r="Q160" s="1090">
        <v>6</v>
      </c>
      <c r="R160" s="771" t="s">
        <v>1894</v>
      </c>
      <c r="S160" s="984"/>
    </row>
    <row r="161" spans="1:19" s="1076" customFormat="1" outlineLevel="1" x14ac:dyDescent="0.15">
      <c r="A161" s="1102" t="s">
        <v>1658</v>
      </c>
      <c r="B161" s="975" t="s">
        <v>1840</v>
      </c>
      <c r="C161" s="975"/>
      <c r="D161" s="975"/>
      <c r="E161" s="975"/>
      <c r="F161" s="975"/>
      <c r="G161" s="975"/>
      <c r="H161" s="975"/>
      <c r="I161" s="971">
        <f t="shared" si="15"/>
        <v>0.01</v>
      </c>
      <c r="J161" s="886">
        <v>39500</v>
      </c>
      <c r="K161" s="886">
        <v>92300</v>
      </c>
      <c r="L161" s="886">
        <f t="shared" si="13"/>
        <v>131800</v>
      </c>
      <c r="M161" s="630">
        <v>0.55000000000000004</v>
      </c>
      <c r="N161" s="886">
        <f t="shared" si="14"/>
        <v>72490</v>
      </c>
      <c r="O161" s="886" t="s">
        <v>1865</v>
      </c>
      <c r="P161" s="1088" t="str">
        <f t="shared" si="16"/>
        <v>ACP</v>
      </c>
      <c r="Q161" s="1090">
        <v>6</v>
      </c>
      <c r="R161" s="771" t="s">
        <v>1894</v>
      </c>
      <c r="S161" s="984"/>
    </row>
    <row r="162" spans="1:19" s="1076" customFormat="1" outlineLevel="1" x14ac:dyDescent="0.15">
      <c r="A162" s="1102" t="s">
        <v>1574</v>
      </c>
      <c r="B162" s="975" t="s">
        <v>1788</v>
      </c>
      <c r="C162" s="975"/>
      <c r="D162" s="975"/>
      <c r="E162" s="975"/>
      <c r="F162" s="975"/>
      <c r="G162" s="975"/>
      <c r="H162" s="975"/>
      <c r="I162" s="971">
        <f t="shared" si="15"/>
        <v>0.01</v>
      </c>
      <c r="J162" s="886">
        <v>36400</v>
      </c>
      <c r="K162" s="886">
        <v>85100</v>
      </c>
      <c r="L162" s="886">
        <f t="shared" si="13"/>
        <v>121500</v>
      </c>
      <c r="M162" s="630">
        <v>0.55000000000000004</v>
      </c>
      <c r="N162" s="886">
        <f t="shared" si="14"/>
        <v>66825</v>
      </c>
      <c r="O162" s="886" t="s">
        <v>1865</v>
      </c>
      <c r="P162" s="1088" t="str">
        <f t="shared" si="16"/>
        <v>ACP</v>
      </c>
      <c r="Q162" s="1090">
        <v>6</v>
      </c>
      <c r="R162" s="771" t="s">
        <v>1894</v>
      </c>
      <c r="S162" s="984"/>
    </row>
    <row r="163" spans="1:19" s="1076" customFormat="1" outlineLevel="1" x14ac:dyDescent="0.15">
      <c r="A163" s="1102" t="s">
        <v>1584</v>
      </c>
      <c r="B163" s="975" t="s">
        <v>1795</v>
      </c>
      <c r="C163" s="975"/>
      <c r="D163" s="975"/>
      <c r="E163" s="975"/>
      <c r="F163" s="975"/>
      <c r="G163" s="975"/>
      <c r="H163" s="975"/>
      <c r="I163" s="971">
        <f t="shared" si="15"/>
        <v>0.01</v>
      </c>
      <c r="J163" s="886">
        <v>41000</v>
      </c>
      <c r="K163" s="886">
        <v>95600</v>
      </c>
      <c r="L163" s="886">
        <f t="shared" si="13"/>
        <v>136600</v>
      </c>
      <c r="M163" s="630">
        <v>0.55000000000000004</v>
      </c>
      <c r="N163" s="886">
        <f t="shared" si="14"/>
        <v>75130</v>
      </c>
      <c r="O163" s="886" t="s">
        <v>1865</v>
      </c>
      <c r="P163" s="1088" t="str">
        <f t="shared" si="16"/>
        <v>ACP</v>
      </c>
      <c r="Q163" s="1090">
        <v>6</v>
      </c>
      <c r="R163" s="771" t="s">
        <v>1894</v>
      </c>
      <c r="S163" s="984"/>
    </row>
    <row r="164" spans="1:19" s="1076" customFormat="1" outlineLevel="1" x14ac:dyDescent="0.15">
      <c r="A164" s="1102" t="s">
        <v>1551</v>
      </c>
      <c r="B164" s="975" t="s">
        <v>1768</v>
      </c>
      <c r="C164" s="975"/>
      <c r="D164" s="975"/>
      <c r="E164" s="975"/>
      <c r="F164" s="975"/>
      <c r="G164" s="975"/>
      <c r="H164" s="975"/>
      <c r="I164" s="971">
        <f t="shared" si="15"/>
        <v>0.01</v>
      </c>
      <c r="J164" s="886">
        <v>36400</v>
      </c>
      <c r="K164" s="886">
        <v>85100</v>
      </c>
      <c r="L164" s="886">
        <f t="shared" si="13"/>
        <v>121500</v>
      </c>
      <c r="M164" s="630">
        <v>0.55000000000000004</v>
      </c>
      <c r="N164" s="886">
        <f t="shared" si="14"/>
        <v>66825</v>
      </c>
      <c r="O164" s="886" t="s">
        <v>1865</v>
      </c>
      <c r="P164" s="1088" t="str">
        <f t="shared" si="16"/>
        <v>ACP</v>
      </c>
      <c r="Q164" s="1090">
        <v>6</v>
      </c>
      <c r="R164" s="771" t="s">
        <v>1894</v>
      </c>
      <c r="S164" s="984"/>
    </row>
    <row r="165" spans="1:19" s="1076" customFormat="1" outlineLevel="1" x14ac:dyDescent="0.15">
      <c r="A165" s="1102" t="s">
        <v>1690</v>
      </c>
      <c r="B165" s="975" t="s">
        <v>1785</v>
      </c>
      <c r="C165" s="975"/>
      <c r="D165" s="975"/>
      <c r="E165" s="975"/>
      <c r="F165" s="975"/>
      <c r="G165" s="975"/>
      <c r="H165" s="975"/>
      <c r="I165" s="971">
        <f t="shared" si="15"/>
        <v>0.01</v>
      </c>
      <c r="J165" s="886">
        <v>39500</v>
      </c>
      <c r="K165" s="886">
        <v>92300</v>
      </c>
      <c r="L165" s="886">
        <f t="shared" si="13"/>
        <v>131800</v>
      </c>
      <c r="M165" s="630">
        <v>0.55000000000000004</v>
      </c>
      <c r="N165" s="886">
        <f t="shared" si="14"/>
        <v>72490</v>
      </c>
      <c r="O165" s="886" t="s">
        <v>1865</v>
      </c>
      <c r="P165" s="1088" t="str">
        <f t="shared" si="16"/>
        <v>ACP</v>
      </c>
      <c r="Q165" s="1090">
        <v>6</v>
      </c>
      <c r="R165" s="771" t="s">
        <v>1894</v>
      </c>
      <c r="S165" s="984"/>
    </row>
    <row r="166" spans="1:19" s="1076" customFormat="1" outlineLevel="1" x14ac:dyDescent="0.15">
      <c r="A166" s="1102" t="s">
        <v>1571</v>
      </c>
      <c r="B166" s="975" t="s">
        <v>1785</v>
      </c>
      <c r="C166" s="975"/>
      <c r="D166" s="975"/>
      <c r="E166" s="975"/>
      <c r="F166" s="975"/>
      <c r="G166" s="975"/>
      <c r="H166" s="975"/>
      <c r="I166" s="971">
        <f t="shared" si="15"/>
        <v>0.01</v>
      </c>
      <c r="J166" s="886">
        <v>36400</v>
      </c>
      <c r="K166" s="886">
        <v>85100</v>
      </c>
      <c r="L166" s="886">
        <f t="shared" si="13"/>
        <v>121500</v>
      </c>
      <c r="M166" s="630">
        <v>0.55000000000000004</v>
      </c>
      <c r="N166" s="886">
        <f t="shared" si="14"/>
        <v>66825</v>
      </c>
      <c r="O166" s="886" t="s">
        <v>1865</v>
      </c>
      <c r="P166" s="1088" t="str">
        <f t="shared" si="16"/>
        <v>ACP</v>
      </c>
      <c r="Q166" s="1090">
        <v>6</v>
      </c>
      <c r="R166" s="771" t="s">
        <v>1894</v>
      </c>
      <c r="S166" s="984"/>
    </row>
    <row r="167" spans="1:19" s="1076" customFormat="1" outlineLevel="1" x14ac:dyDescent="0.15">
      <c r="A167" s="1102" t="s">
        <v>1622</v>
      </c>
      <c r="B167" s="975" t="s">
        <v>1823</v>
      </c>
      <c r="C167" s="975"/>
      <c r="D167" s="975"/>
      <c r="E167" s="975"/>
      <c r="F167" s="975"/>
      <c r="G167" s="975"/>
      <c r="H167" s="975"/>
      <c r="I167" s="971">
        <f t="shared" si="15"/>
        <v>0.01</v>
      </c>
      <c r="J167" s="886">
        <v>39500</v>
      </c>
      <c r="K167" s="886">
        <v>92300</v>
      </c>
      <c r="L167" s="886">
        <f t="shared" si="13"/>
        <v>131800</v>
      </c>
      <c r="M167" s="630">
        <v>0.55000000000000004</v>
      </c>
      <c r="N167" s="886">
        <f t="shared" si="14"/>
        <v>72490</v>
      </c>
      <c r="O167" s="886" t="s">
        <v>1865</v>
      </c>
      <c r="P167" s="1088" t="str">
        <f t="shared" si="16"/>
        <v>ACP</v>
      </c>
      <c r="Q167" s="1090">
        <v>6</v>
      </c>
      <c r="R167" s="771" t="s">
        <v>1894</v>
      </c>
      <c r="S167" s="984"/>
    </row>
    <row r="168" spans="1:19" s="1076" customFormat="1" outlineLevel="1" x14ac:dyDescent="0.15">
      <c r="A168" s="1102" t="s">
        <v>1598</v>
      </c>
      <c r="B168" s="975" t="s">
        <v>1805</v>
      </c>
      <c r="C168" s="975"/>
      <c r="D168" s="975"/>
      <c r="E168" s="975"/>
      <c r="F168" s="975"/>
      <c r="G168" s="975"/>
      <c r="H168" s="975"/>
      <c r="I168" s="971">
        <f t="shared" si="15"/>
        <v>0.01</v>
      </c>
      <c r="J168" s="886">
        <v>36400</v>
      </c>
      <c r="K168" s="886">
        <v>85100</v>
      </c>
      <c r="L168" s="886">
        <f t="shared" si="13"/>
        <v>121500</v>
      </c>
      <c r="M168" s="630">
        <v>0.55000000000000004</v>
      </c>
      <c r="N168" s="886">
        <f t="shared" si="14"/>
        <v>66825</v>
      </c>
      <c r="O168" s="886" t="s">
        <v>1865</v>
      </c>
      <c r="P168" s="1088" t="str">
        <f t="shared" si="16"/>
        <v>ACP</v>
      </c>
      <c r="Q168" s="1090">
        <v>6</v>
      </c>
      <c r="R168" s="771" t="s">
        <v>1894</v>
      </c>
      <c r="S168" s="984"/>
    </row>
    <row r="169" spans="1:19" s="1076" customFormat="1" outlineLevel="1" x14ac:dyDescent="0.15">
      <c r="A169" s="1102" t="s">
        <v>1495</v>
      </c>
      <c r="B169" s="975" t="s">
        <v>1725</v>
      </c>
      <c r="C169" s="975"/>
      <c r="D169" s="975"/>
      <c r="E169" s="975"/>
      <c r="F169" s="975"/>
      <c r="G169" s="975"/>
      <c r="H169" s="975"/>
      <c r="I169" s="971">
        <f t="shared" si="15"/>
        <v>0.01</v>
      </c>
      <c r="J169" s="886">
        <v>39500</v>
      </c>
      <c r="K169" s="886">
        <v>92300</v>
      </c>
      <c r="L169" s="886">
        <f t="shared" si="13"/>
        <v>131800</v>
      </c>
      <c r="M169" s="630">
        <v>0.55000000000000004</v>
      </c>
      <c r="N169" s="886">
        <f t="shared" si="14"/>
        <v>72490</v>
      </c>
      <c r="O169" s="886" t="s">
        <v>1865</v>
      </c>
      <c r="P169" s="1088" t="str">
        <f t="shared" si="16"/>
        <v>ACP</v>
      </c>
      <c r="Q169" s="1090">
        <v>6</v>
      </c>
      <c r="R169" s="771" t="s">
        <v>1894</v>
      </c>
      <c r="S169" s="984"/>
    </row>
    <row r="170" spans="1:19" s="1076" customFormat="1" outlineLevel="1" x14ac:dyDescent="0.15">
      <c r="A170" s="1102" t="s">
        <v>1691</v>
      </c>
      <c r="B170" s="975" t="s">
        <v>1859</v>
      </c>
      <c r="C170" s="975"/>
      <c r="D170" s="975"/>
      <c r="E170" s="975"/>
      <c r="F170" s="975"/>
      <c r="G170" s="975"/>
      <c r="H170" s="975"/>
      <c r="I170" s="971">
        <v>0.78</v>
      </c>
      <c r="J170" s="886">
        <v>134500</v>
      </c>
      <c r="K170" s="886">
        <v>0</v>
      </c>
      <c r="L170" s="886">
        <f t="shared" si="13"/>
        <v>134500</v>
      </c>
      <c r="M170" s="630">
        <v>0</v>
      </c>
      <c r="N170" s="886">
        <f t="shared" si="14"/>
        <v>0</v>
      </c>
      <c r="O170" s="886" t="s">
        <v>1865</v>
      </c>
      <c r="P170" s="1088" t="str">
        <f t="shared" ref="P170:P190" si="17">P169</f>
        <v>ACP</v>
      </c>
      <c r="Q170" s="1090">
        <v>6</v>
      </c>
      <c r="R170" s="771" t="s">
        <v>1894</v>
      </c>
      <c r="S170" s="984"/>
    </row>
    <row r="171" spans="1:19" s="1076" customFormat="1" outlineLevel="1" x14ac:dyDescent="0.15">
      <c r="A171" s="1102" t="s">
        <v>1586</v>
      </c>
      <c r="B171" s="975" t="s">
        <v>1797</v>
      </c>
      <c r="C171" s="975"/>
      <c r="D171" s="975"/>
      <c r="E171" s="975"/>
      <c r="F171" s="975"/>
      <c r="G171" s="975"/>
      <c r="H171" s="975"/>
      <c r="I171" s="971">
        <v>0.15</v>
      </c>
      <c r="J171" s="886">
        <v>87100</v>
      </c>
      <c r="K171" s="886">
        <v>95600</v>
      </c>
      <c r="L171" s="886">
        <f t="shared" si="13"/>
        <v>182700</v>
      </c>
      <c r="M171" s="630">
        <v>0.55000000000000004</v>
      </c>
      <c r="N171" s="886">
        <f t="shared" si="14"/>
        <v>100485.00000000001</v>
      </c>
      <c r="O171" s="886" t="s">
        <v>1864</v>
      </c>
      <c r="P171" s="1088" t="str">
        <f t="shared" si="17"/>
        <v>ACP</v>
      </c>
      <c r="Q171" s="1090">
        <v>6</v>
      </c>
      <c r="R171" s="771" t="s">
        <v>1999</v>
      </c>
      <c r="S171" s="984"/>
    </row>
    <row r="172" spans="1:19" s="1076" customFormat="1" outlineLevel="1" x14ac:dyDescent="0.15">
      <c r="A172" s="1102" t="s">
        <v>1686</v>
      </c>
      <c r="B172" s="975" t="s">
        <v>1797</v>
      </c>
      <c r="C172" s="975"/>
      <c r="D172" s="975"/>
      <c r="E172" s="975"/>
      <c r="F172" s="975"/>
      <c r="G172" s="975"/>
      <c r="H172" s="975"/>
      <c r="I172" s="971">
        <v>0.17</v>
      </c>
      <c r="J172" s="886">
        <v>93600</v>
      </c>
      <c r="K172" s="886">
        <v>114900</v>
      </c>
      <c r="L172" s="886">
        <f t="shared" si="13"/>
        <v>208500</v>
      </c>
      <c r="M172" s="630">
        <v>0.55000000000000004</v>
      </c>
      <c r="N172" s="886">
        <f t="shared" si="14"/>
        <v>114675.00000000001</v>
      </c>
      <c r="O172" s="886" t="s">
        <v>1864</v>
      </c>
      <c r="P172" s="1088" t="str">
        <f t="shared" si="17"/>
        <v>ACP</v>
      </c>
      <c r="Q172" s="1090">
        <v>6</v>
      </c>
      <c r="R172" s="771" t="s">
        <v>2000</v>
      </c>
      <c r="S172" s="984"/>
    </row>
    <row r="173" spans="1:19" s="1076" customFormat="1" outlineLevel="1" x14ac:dyDescent="0.15">
      <c r="A173" s="1102" t="s">
        <v>1625</v>
      </c>
      <c r="B173" s="975" t="s">
        <v>1797</v>
      </c>
      <c r="C173" s="975"/>
      <c r="D173" s="975"/>
      <c r="E173" s="975"/>
      <c r="F173" s="975"/>
      <c r="G173" s="975"/>
      <c r="H173" s="975"/>
      <c r="I173" s="971">
        <v>0.14000000000000001</v>
      </c>
      <c r="J173" s="886">
        <v>24100</v>
      </c>
      <c r="K173" s="886">
        <v>1600</v>
      </c>
      <c r="L173" s="886">
        <f t="shared" si="13"/>
        <v>25700</v>
      </c>
      <c r="M173" s="630">
        <v>1</v>
      </c>
      <c r="N173" s="886">
        <f t="shared" si="14"/>
        <v>25700</v>
      </c>
      <c r="O173" s="886" t="s">
        <v>1889</v>
      </c>
      <c r="P173" s="1088" t="str">
        <f t="shared" si="17"/>
        <v>ACP</v>
      </c>
      <c r="Q173" s="1090">
        <v>6</v>
      </c>
      <c r="R173" s="771" t="s">
        <v>2001</v>
      </c>
      <c r="S173" s="984"/>
    </row>
    <row r="174" spans="1:19" s="1076" customFormat="1" outlineLevel="1" x14ac:dyDescent="0.15">
      <c r="A174" s="1102" t="s">
        <v>1663</v>
      </c>
      <c r="B174" s="975" t="s">
        <v>1843</v>
      </c>
      <c r="C174" s="975"/>
      <c r="D174" s="975"/>
      <c r="E174" s="975"/>
      <c r="F174" s="975"/>
      <c r="G174" s="975"/>
      <c r="H174" s="975"/>
      <c r="I174" s="971">
        <v>0.83</v>
      </c>
      <c r="J174" s="886">
        <v>629900</v>
      </c>
      <c r="K174" s="886">
        <v>1172200</v>
      </c>
      <c r="L174" s="886">
        <f t="shared" si="13"/>
        <v>1802100</v>
      </c>
      <c r="M174" s="630">
        <v>1</v>
      </c>
      <c r="N174" s="886">
        <f t="shared" si="14"/>
        <v>1802100</v>
      </c>
      <c r="O174" s="886" t="s">
        <v>41</v>
      </c>
      <c r="P174" s="1088" t="str">
        <f t="shared" si="17"/>
        <v>ACP</v>
      </c>
      <c r="Q174" s="1090">
        <v>6</v>
      </c>
      <c r="R174" s="771" t="s">
        <v>1896</v>
      </c>
      <c r="S174" s="984"/>
    </row>
    <row r="175" spans="1:19" s="1076" customFormat="1" outlineLevel="1" x14ac:dyDescent="0.15">
      <c r="A175" s="1102" t="s">
        <v>1630</v>
      </c>
      <c r="B175" s="975" t="s">
        <v>1826</v>
      </c>
      <c r="C175" s="975"/>
      <c r="D175" s="975"/>
      <c r="E175" s="975"/>
      <c r="F175" s="975"/>
      <c r="G175" s="975"/>
      <c r="H175" s="975"/>
      <c r="I175" s="971">
        <v>0.17</v>
      </c>
      <c r="J175" s="886">
        <v>79300</v>
      </c>
      <c r="K175" s="886">
        <v>160400</v>
      </c>
      <c r="L175" s="886">
        <f t="shared" si="13"/>
        <v>239700</v>
      </c>
      <c r="M175" s="630">
        <v>1</v>
      </c>
      <c r="N175" s="886">
        <f t="shared" si="14"/>
        <v>239700</v>
      </c>
      <c r="O175" s="886" t="s">
        <v>41</v>
      </c>
      <c r="P175" s="1088" t="str">
        <f t="shared" si="17"/>
        <v>ACP</v>
      </c>
      <c r="Q175" s="1090">
        <v>6</v>
      </c>
      <c r="R175" s="771" t="s">
        <v>1895</v>
      </c>
      <c r="S175" s="984"/>
    </row>
    <row r="176" spans="1:19" s="1076" customFormat="1" outlineLevel="1" x14ac:dyDescent="0.15">
      <c r="A176" s="1102" t="s">
        <v>1636</v>
      </c>
      <c r="B176" s="975" t="s">
        <v>1830</v>
      </c>
      <c r="C176" s="975"/>
      <c r="D176" s="975"/>
      <c r="E176" s="975"/>
      <c r="F176" s="975"/>
      <c r="G176" s="975"/>
      <c r="H176" s="975"/>
      <c r="I176" s="971">
        <v>0.34</v>
      </c>
      <c r="J176" s="886">
        <v>124200</v>
      </c>
      <c r="K176" s="886">
        <v>126800</v>
      </c>
      <c r="L176" s="886">
        <f t="shared" si="13"/>
        <v>251000</v>
      </c>
      <c r="M176" s="630">
        <v>0.55000000000000004</v>
      </c>
      <c r="N176" s="886">
        <f t="shared" si="14"/>
        <v>138050</v>
      </c>
      <c r="O176" s="886" t="s">
        <v>1864</v>
      </c>
      <c r="P176" s="1088" t="str">
        <f t="shared" si="17"/>
        <v>ACP</v>
      </c>
      <c r="Q176" s="1090">
        <v>6</v>
      </c>
      <c r="R176" s="771" t="s">
        <v>1918</v>
      </c>
      <c r="S176" s="984"/>
    </row>
    <row r="177" spans="1:19" s="1076" customFormat="1" outlineLevel="1" x14ac:dyDescent="0.15">
      <c r="A177" s="1102" t="s">
        <v>1492</v>
      </c>
      <c r="B177" s="975" t="s">
        <v>1722</v>
      </c>
      <c r="C177" s="975"/>
      <c r="D177" s="975"/>
      <c r="E177" s="975"/>
      <c r="F177" s="975"/>
      <c r="G177" s="975"/>
      <c r="H177" s="975"/>
      <c r="I177" s="971">
        <v>0.17</v>
      </c>
      <c r="J177" s="886">
        <v>115800</v>
      </c>
      <c r="K177" s="886">
        <v>264000</v>
      </c>
      <c r="L177" s="886">
        <f t="shared" si="13"/>
        <v>379800</v>
      </c>
      <c r="M177" s="630">
        <v>0.55000000000000004</v>
      </c>
      <c r="N177" s="886">
        <f t="shared" si="14"/>
        <v>208890.00000000003</v>
      </c>
      <c r="O177" s="886" t="s">
        <v>1873</v>
      </c>
      <c r="P177" s="1088" t="str">
        <f t="shared" si="17"/>
        <v>ACP</v>
      </c>
      <c r="Q177" s="1090">
        <v>6</v>
      </c>
      <c r="R177" s="771" t="s">
        <v>1919</v>
      </c>
      <c r="S177" s="984"/>
    </row>
    <row r="178" spans="1:19" s="1076" customFormat="1" outlineLevel="1" x14ac:dyDescent="0.15">
      <c r="A178" s="1102" t="s">
        <v>1482</v>
      </c>
      <c r="B178" s="975" t="s">
        <v>1712</v>
      </c>
      <c r="C178" s="975"/>
      <c r="D178" s="975"/>
      <c r="E178" s="975"/>
      <c r="F178" s="975"/>
      <c r="G178" s="975"/>
      <c r="H178" s="975"/>
      <c r="I178" s="971">
        <v>0.5</v>
      </c>
      <c r="J178" s="886">
        <v>320500</v>
      </c>
      <c r="K178" s="886">
        <v>686800</v>
      </c>
      <c r="L178" s="886">
        <f t="shared" si="13"/>
        <v>1007300</v>
      </c>
      <c r="M178" s="630">
        <v>1</v>
      </c>
      <c r="N178" s="886">
        <f t="shared" si="14"/>
        <v>1007300</v>
      </c>
      <c r="O178" s="886" t="s">
        <v>41</v>
      </c>
      <c r="P178" s="1088" t="str">
        <f t="shared" si="17"/>
        <v>ACP</v>
      </c>
      <c r="Q178" s="1090">
        <v>6</v>
      </c>
      <c r="R178" s="771" t="s">
        <v>1915</v>
      </c>
      <c r="S178" s="984"/>
    </row>
    <row r="179" spans="1:19" s="1076" customFormat="1" outlineLevel="1" x14ac:dyDescent="0.15">
      <c r="A179" s="1102" t="s">
        <v>1596</v>
      </c>
      <c r="B179" s="975" t="s">
        <v>1804</v>
      </c>
      <c r="C179" s="975"/>
      <c r="D179" s="975"/>
      <c r="E179" s="975"/>
      <c r="F179" s="975"/>
      <c r="G179" s="975"/>
      <c r="H179" s="975"/>
      <c r="I179" s="971">
        <v>0.34</v>
      </c>
      <c r="J179" s="886">
        <v>298300</v>
      </c>
      <c r="K179" s="886">
        <v>0</v>
      </c>
      <c r="L179" s="886">
        <f t="shared" si="13"/>
        <v>298300</v>
      </c>
      <c r="M179" s="630">
        <v>1</v>
      </c>
      <c r="N179" s="886">
        <f t="shared" si="14"/>
        <v>298300</v>
      </c>
      <c r="O179" s="886" t="s">
        <v>1886</v>
      </c>
      <c r="P179" s="1088" t="str">
        <f t="shared" si="17"/>
        <v>ACP</v>
      </c>
      <c r="Q179" s="1090">
        <v>6</v>
      </c>
      <c r="R179" s="771" t="s">
        <v>1917</v>
      </c>
      <c r="S179" s="984"/>
    </row>
    <row r="180" spans="1:19" s="1076" customFormat="1" outlineLevel="1" x14ac:dyDescent="0.15">
      <c r="A180" s="1103">
        <v>16294290130000</v>
      </c>
      <c r="B180" s="975" t="s">
        <v>2126</v>
      </c>
      <c r="C180" s="975"/>
      <c r="D180" s="975"/>
      <c r="E180" s="975"/>
      <c r="F180" s="975"/>
      <c r="G180" s="975"/>
      <c r="H180" s="975"/>
      <c r="I180" s="971">
        <v>0.46</v>
      </c>
      <c r="J180" s="886">
        <v>322900</v>
      </c>
      <c r="K180" s="886">
        <v>212800</v>
      </c>
      <c r="L180" s="886">
        <f t="shared" si="13"/>
        <v>535700</v>
      </c>
      <c r="M180" s="630">
        <v>0</v>
      </c>
      <c r="N180" s="886">
        <f t="shared" si="14"/>
        <v>0</v>
      </c>
      <c r="O180" s="886" t="s">
        <v>41</v>
      </c>
      <c r="P180" s="1088" t="s">
        <v>1863</v>
      </c>
      <c r="Q180" s="1090">
        <v>6</v>
      </c>
      <c r="R180" s="771" t="s">
        <v>2127</v>
      </c>
      <c r="S180" s="984"/>
    </row>
    <row r="181" spans="1:19" s="1076" customFormat="1" outlineLevel="1" x14ac:dyDescent="0.15">
      <c r="A181" s="1102" t="s">
        <v>1560</v>
      </c>
      <c r="B181" s="975" t="s">
        <v>1776</v>
      </c>
      <c r="C181" s="975"/>
      <c r="D181" s="975"/>
      <c r="E181" s="975"/>
      <c r="F181" s="975"/>
      <c r="G181" s="975"/>
      <c r="H181" s="975"/>
      <c r="I181" s="971">
        <v>0.38</v>
      </c>
      <c r="J181" s="886">
        <v>240600</v>
      </c>
      <c r="K181" s="886">
        <v>796400</v>
      </c>
      <c r="L181" s="886">
        <f t="shared" si="13"/>
        <v>1037000</v>
      </c>
      <c r="M181" s="630">
        <v>1</v>
      </c>
      <c r="N181" s="886">
        <f t="shared" si="14"/>
        <v>1037000</v>
      </c>
      <c r="O181" s="886" t="s">
        <v>41</v>
      </c>
      <c r="P181" s="1088" t="str">
        <f>P179</f>
        <v>ACP</v>
      </c>
      <c r="Q181" s="1090">
        <v>7</v>
      </c>
      <c r="R181" s="771" t="s">
        <v>2020</v>
      </c>
      <c r="S181" s="984"/>
    </row>
    <row r="182" spans="1:19" s="1076" customFormat="1" outlineLevel="1" x14ac:dyDescent="0.15">
      <c r="A182" s="1103">
        <v>16283080050000</v>
      </c>
      <c r="B182" s="975" t="s">
        <v>1776</v>
      </c>
      <c r="C182" s="975"/>
      <c r="D182" s="975"/>
      <c r="E182" s="975"/>
      <c r="F182" s="975"/>
      <c r="G182" s="975"/>
      <c r="H182" s="975"/>
      <c r="I182" s="971">
        <v>0.3</v>
      </c>
      <c r="J182" s="886">
        <v>201700</v>
      </c>
      <c r="K182" s="886">
        <v>0</v>
      </c>
      <c r="L182" s="886">
        <f t="shared" si="13"/>
        <v>201700</v>
      </c>
      <c r="M182" s="630">
        <v>1</v>
      </c>
      <c r="N182" s="886">
        <f t="shared" si="14"/>
        <v>201700</v>
      </c>
      <c r="O182" s="886" t="s">
        <v>1886</v>
      </c>
      <c r="P182" s="1088" t="s">
        <v>1863</v>
      </c>
      <c r="Q182" s="1090">
        <v>7</v>
      </c>
      <c r="R182" s="771" t="s">
        <v>2124</v>
      </c>
      <c r="S182" s="984"/>
    </row>
    <row r="183" spans="1:19" s="1076" customFormat="1" outlineLevel="1" x14ac:dyDescent="0.15">
      <c r="A183" s="1102" t="s">
        <v>1491</v>
      </c>
      <c r="B183" s="975" t="s">
        <v>1721</v>
      </c>
      <c r="C183" s="975"/>
      <c r="D183" s="975"/>
      <c r="E183" s="975"/>
      <c r="F183" s="975"/>
      <c r="G183" s="975"/>
      <c r="H183" s="975"/>
      <c r="I183" s="971">
        <v>0.47</v>
      </c>
      <c r="J183" s="886">
        <v>373500</v>
      </c>
      <c r="K183" s="886">
        <v>5000</v>
      </c>
      <c r="L183" s="886">
        <f t="shared" si="13"/>
        <v>378500</v>
      </c>
      <c r="M183" s="630">
        <v>1</v>
      </c>
      <c r="N183" s="886">
        <f t="shared" si="14"/>
        <v>378500</v>
      </c>
      <c r="O183" s="886" t="s">
        <v>41</v>
      </c>
      <c r="P183" s="1088" t="str">
        <f>P181</f>
        <v>ACP</v>
      </c>
      <c r="Q183" s="1090">
        <v>7</v>
      </c>
      <c r="R183" s="771" t="s">
        <v>2019</v>
      </c>
      <c r="S183" s="984"/>
    </row>
    <row r="184" spans="1:19" s="1076" customFormat="1" outlineLevel="1" x14ac:dyDescent="0.15">
      <c r="A184" s="1102" t="s">
        <v>1536</v>
      </c>
      <c r="B184" s="974" t="s">
        <v>1758</v>
      </c>
      <c r="C184" s="975"/>
      <c r="D184" s="975"/>
      <c r="E184" s="975"/>
      <c r="F184" s="975"/>
      <c r="G184" s="975"/>
      <c r="H184" s="975"/>
      <c r="I184" s="971">
        <v>0.44</v>
      </c>
      <c r="J184" s="886">
        <v>319400</v>
      </c>
      <c r="K184" s="886">
        <v>284200</v>
      </c>
      <c r="L184" s="886">
        <f t="shared" si="13"/>
        <v>603600</v>
      </c>
      <c r="M184" s="630">
        <v>1</v>
      </c>
      <c r="N184" s="886">
        <f t="shared" si="14"/>
        <v>603600</v>
      </c>
      <c r="O184" s="886" t="s">
        <v>41</v>
      </c>
      <c r="P184" s="1088" t="str">
        <f t="shared" si="17"/>
        <v>ACP</v>
      </c>
      <c r="Q184" s="1090">
        <v>7</v>
      </c>
      <c r="R184" s="771" t="s">
        <v>2018</v>
      </c>
      <c r="S184" s="984"/>
    </row>
    <row r="185" spans="1:19" s="1076" customFormat="1" outlineLevel="1" x14ac:dyDescent="0.15">
      <c r="A185" s="1102" t="s">
        <v>1697</v>
      </c>
      <c r="B185" s="974" t="s">
        <v>1774</v>
      </c>
      <c r="C185" s="975"/>
      <c r="D185" s="975"/>
      <c r="E185" s="975"/>
      <c r="F185" s="975"/>
      <c r="G185" s="975"/>
      <c r="H185" s="975"/>
      <c r="I185" s="971">
        <v>0.88</v>
      </c>
      <c r="J185" s="886">
        <v>359200</v>
      </c>
      <c r="K185" s="886">
        <v>1382300</v>
      </c>
      <c r="L185" s="886">
        <f t="shared" si="13"/>
        <v>1741500</v>
      </c>
      <c r="M185" s="630">
        <v>0</v>
      </c>
      <c r="N185" s="886">
        <f t="shared" si="14"/>
        <v>0</v>
      </c>
      <c r="O185" s="886" t="s">
        <v>1930</v>
      </c>
      <c r="P185" s="1088" t="str">
        <f t="shared" si="17"/>
        <v>ACP</v>
      </c>
      <c r="Q185" s="1090">
        <v>7</v>
      </c>
      <c r="R185" s="771" t="s">
        <v>2017</v>
      </c>
      <c r="S185" s="984"/>
    </row>
    <row r="186" spans="1:19" s="1076" customFormat="1" outlineLevel="1" x14ac:dyDescent="0.15">
      <c r="A186" s="1102" t="s">
        <v>1558</v>
      </c>
      <c r="B186" s="974" t="s">
        <v>1774</v>
      </c>
      <c r="C186" s="975"/>
      <c r="D186" s="975"/>
      <c r="E186" s="975"/>
      <c r="F186" s="975"/>
      <c r="G186" s="975"/>
      <c r="H186" s="975"/>
      <c r="I186" s="971">
        <v>0.22</v>
      </c>
      <c r="J186" s="886">
        <v>95800</v>
      </c>
      <c r="K186" s="886">
        <v>7200</v>
      </c>
      <c r="L186" s="886">
        <f t="shared" si="13"/>
        <v>103000</v>
      </c>
      <c r="M186" s="630">
        <v>0</v>
      </c>
      <c r="N186" s="886">
        <f t="shared" si="14"/>
        <v>0</v>
      </c>
      <c r="O186" s="886" t="s">
        <v>1930</v>
      </c>
      <c r="P186" s="1088" t="str">
        <f t="shared" si="17"/>
        <v>ACP</v>
      </c>
      <c r="Q186" s="1090">
        <v>7</v>
      </c>
      <c r="R186" s="771" t="s">
        <v>2016</v>
      </c>
      <c r="S186" s="984"/>
    </row>
    <row r="187" spans="1:19" s="1076" customFormat="1" outlineLevel="1" x14ac:dyDescent="0.15">
      <c r="A187" s="1102" t="s">
        <v>1493</v>
      </c>
      <c r="B187" s="974" t="s">
        <v>1723</v>
      </c>
      <c r="C187" s="975"/>
      <c r="D187" s="975"/>
      <c r="E187" s="975"/>
      <c r="F187" s="975"/>
      <c r="G187" s="975"/>
      <c r="H187" s="975"/>
      <c r="I187" s="971">
        <v>0.76</v>
      </c>
      <c r="J187" s="886">
        <v>430000</v>
      </c>
      <c r="K187" s="886">
        <v>461200</v>
      </c>
      <c r="L187" s="886">
        <f t="shared" si="13"/>
        <v>891200</v>
      </c>
      <c r="M187" s="630">
        <v>1</v>
      </c>
      <c r="N187" s="886">
        <f t="shared" si="14"/>
        <v>891200</v>
      </c>
      <c r="O187" s="886" t="s">
        <v>41</v>
      </c>
      <c r="P187" s="1088" t="str">
        <f t="shared" si="17"/>
        <v>ACP</v>
      </c>
      <c r="Q187" s="1090">
        <v>7</v>
      </c>
      <c r="R187" s="771" t="s">
        <v>2015</v>
      </c>
      <c r="S187" s="984"/>
    </row>
    <row r="188" spans="1:19" s="1076" customFormat="1" outlineLevel="1" x14ac:dyDescent="0.15">
      <c r="A188" s="1102" t="s">
        <v>1677</v>
      </c>
      <c r="B188" s="974" t="s">
        <v>1850</v>
      </c>
      <c r="C188" s="975"/>
      <c r="D188" s="975"/>
      <c r="E188" s="975"/>
      <c r="F188" s="975"/>
      <c r="G188" s="975"/>
      <c r="H188" s="975"/>
      <c r="I188" s="971">
        <v>0.2</v>
      </c>
      <c r="J188" s="886">
        <v>136800</v>
      </c>
      <c r="K188" s="886">
        <v>199900</v>
      </c>
      <c r="L188" s="886">
        <f t="shared" si="13"/>
        <v>336700</v>
      </c>
      <c r="M188" s="630">
        <v>1</v>
      </c>
      <c r="N188" s="886">
        <f t="shared" si="14"/>
        <v>336700</v>
      </c>
      <c r="O188" s="886" t="s">
        <v>41</v>
      </c>
      <c r="P188" s="1088" t="str">
        <f t="shared" si="17"/>
        <v>ACP</v>
      </c>
      <c r="Q188" s="1090">
        <v>7</v>
      </c>
      <c r="R188" s="771" t="s">
        <v>2012</v>
      </c>
      <c r="S188" s="984"/>
    </row>
    <row r="189" spans="1:19" s="1076" customFormat="1" outlineLevel="1" x14ac:dyDescent="0.15">
      <c r="A189" s="1102" t="s">
        <v>1570</v>
      </c>
      <c r="B189" s="974" t="s">
        <v>1784</v>
      </c>
      <c r="C189" s="975"/>
      <c r="D189" s="975"/>
      <c r="E189" s="975"/>
      <c r="F189" s="975"/>
      <c r="G189" s="975"/>
      <c r="H189" s="975"/>
      <c r="I189" s="971">
        <v>0.2</v>
      </c>
      <c r="J189" s="886">
        <v>82100</v>
      </c>
      <c r="K189" s="886">
        <v>126200</v>
      </c>
      <c r="L189" s="886">
        <f t="shared" si="13"/>
        <v>208300</v>
      </c>
      <c r="M189" s="630">
        <v>1</v>
      </c>
      <c r="N189" s="886">
        <f t="shared" si="14"/>
        <v>208300</v>
      </c>
      <c r="O189" s="886" t="s">
        <v>41</v>
      </c>
      <c r="P189" s="1088" t="str">
        <f t="shared" si="17"/>
        <v>ACP</v>
      </c>
      <c r="Q189" s="1090">
        <v>7</v>
      </c>
      <c r="R189" s="771" t="s">
        <v>2013</v>
      </c>
      <c r="S189" s="984"/>
    </row>
    <row r="190" spans="1:19" s="1076" customFormat="1" outlineLevel="1" x14ac:dyDescent="0.15">
      <c r="A190" s="1102" t="s">
        <v>1613</v>
      </c>
      <c r="B190" s="974" t="s">
        <v>1819</v>
      </c>
      <c r="C190" s="975"/>
      <c r="D190" s="975"/>
      <c r="E190" s="975"/>
      <c r="F190" s="975"/>
      <c r="G190" s="975"/>
      <c r="H190" s="975"/>
      <c r="I190" s="971">
        <v>1.68</v>
      </c>
      <c r="J190" s="886">
        <v>1313600</v>
      </c>
      <c r="K190" s="886">
        <v>4469800</v>
      </c>
      <c r="L190" s="886">
        <f t="shared" si="13"/>
        <v>5783400</v>
      </c>
      <c r="M190" s="630">
        <v>1</v>
      </c>
      <c r="N190" s="886">
        <f t="shared" si="14"/>
        <v>5783400</v>
      </c>
      <c r="O190" s="886" t="s">
        <v>41</v>
      </c>
      <c r="P190" s="1088" t="str">
        <f t="shared" si="17"/>
        <v>ACP</v>
      </c>
      <c r="Q190" s="1090">
        <v>7</v>
      </c>
      <c r="R190" s="771" t="s">
        <v>2014</v>
      </c>
      <c r="S190" s="984"/>
    </row>
    <row r="191" spans="1:19" s="1076" customFormat="1" outlineLevel="1" x14ac:dyDescent="0.15">
      <c r="A191" s="1103">
        <v>16283090230000</v>
      </c>
      <c r="B191" s="974" t="s">
        <v>2125</v>
      </c>
      <c r="C191" s="975"/>
      <c r="D191" s="975"/>
      <c r="E191" s="975"/>
      <c r="F191" s="975"/>
      <c r="G191" s="975"/>
      <c r="H191" s="975"/>
      <c r="I191" s="971">
        <v>0.26</v>
      </c>
      <c r="J191" s="886">
        <v>202900</v>
      </c>
      <c r="K191" s="886">
        <v>105500</v>
      </c>
      <c r="L191" s="886">
        <f t="shared" si="13"/>
        <v>308400</v>
      </c>
      <c r="M191" s="630">
        <v>1</v>
      </c>
      <c r="N191" s="886">
        <f t="shared" si="14"/>
        <v>308400</v>
      </c>
      <c r="O191" s="886" t="s">
        <v>41</v>
      </c>
      <c r="P191" s="1088" t="s">
        <v>1863</v>
      </c>
      <c r="Q191" s="1090">
        <v>7</v>
      </c>
      <c r="R191" s="771"/>
      <c r="S191" s="984"/>
    </row>
    <row r="192" spans="1:19" s="1076" customFormat="1" outlineLevel="1" x14ac:dyDescent="0.15">
      <c r="A192" s="1103">
        <v>16283130100000</v>
      </c>
      <c r="B192" s="974" t="s">
        <v>1702</v>
      </c>
      <c r="C192" s="975"/>
      <c r="D192" s="975"/>
      <c r="E192" s="975"/>
      <c r="F192" s="975"/>
      <c r="G192" s="975"/>
      <c r="H192" s="975"/>
      <c r="I192" s="971">
        <v>0.01</v>
      </c>
      <c r="J192" s="886">
        <v>24900</v>
      </c>
      <c r="K192" s="886">
        <v>58200</v>
      </c>
      <c r="L192" s="886">
        <f t="shared" si="13"/>
        <v>83100</v>
      </c>
      <c r="M192" s="630">
        <v>1</v>
      </c>
      <c r="N192" s="886">
        <f t="shared" si="14"/>
        <v>83100</v>
      </c>
      <c r="O192" s="886" t="s">
        <v>1324</v>
      </c>
      <c r="P192" s="1088" t="s">
        <v>1863</v>
      </c>
      <c r="Q192" s="1090">
        <v>8</v>
      </c>
      <c r="R192" s="771" t="s">
        <v>1867</v>
      </c>
      <c r="S192" s="984"/>
    </row>
    <row r="193" spans="1:19" s="1076" customFormat="1" outlineLevel="1" x14ac:dyDescent="0.15">
      <c r="A193" s="1103">
        <v>16283130110000</v>
      </c>
      <c r="B193" s="974" t="s">
        <v>1702</v>
      </c>
      <c r="C193" s="975"/>
      <c r="D193" s="975"/>
      <c r="E193" s="975"/>
      <c r="F193" s="975"/>
      <c r="G193" s="975"/>
      <c r="H193" s="975"/>
      <c r="I193" s="971">
        <v>0.01</v>
      </c>
      <c r="J193" s="886">
        <v>76700</v>
      </c>
      <c r="K193" s="886">
        <v>179000</v>
      </c>
      <c r="L193" s="886">
        <f t="shared" si="13"/>
        <v>255700</v>
      </c>
      <c r="M193" s="630">
        <v>1</v>
      </c>
      <c r="N193" s="886">
        <f t="shared" si="14"/>
        <v>255700</v>
      </c>
      <c r="O193" s="886" t="s">
        <v>1324</v>
      </c>
      <c r="P193" s="1088" t="s">
        <v>1863</v>
      </c>
      <c r="Q193" s="1090">
        <v>8</v>
      </c>
      <c r="R193" s="771" t="s">
        <v>1867</v>
      </c>
      <c r="S193" s="984"/>
    </row>
    <row r="194" spans="1:19" s="1076" customFormat="1" outlineLevel="1" x14ac:dyDescent="0.15">
      <c r="A194" s="1103">
        <v>16283130210000</v>
      </c>
      <c r="B194" s="974" t="s">
        <v>1702</v>
      </c>
      <c r="C194" s="975"/>
      <c r="D194" s="975"/>
      <c r="E194" s="975"/>
      <c r="F194" s="975"/>
      <c r="G194" s="975"/>
      <c r="H194" s="975"/>
      <c r="I194" s="971">
        <v>0.01</v>
      </c>
      <c r="J194" s="886">
        <v>107300</v>
      </c>
      <c r="K194" s="886">
        <v>250200</v>
      </c>
      <c r="L194" s="886">
        <f t="shared" si="13"/>
        <v>357500</v>
      </c>
      <c r="M194" s="630">
        <v>1</v>
      </c>
      <c r="N194" s="886">
        <f t="shared" si="14"/>
        <v>357500</v>
      </c>
      <c r="O194" s="886" t="s">
        <v>1324</v>
      </c>
      <c r="P194" s="1088" t="s">
        <v>1863</v>
      </c>
      <c r="Q194" s="1090">
        <v>8</v>
      </c>
      <c r="R194" s="771" t="s">
        <v>1867</v>
      </c>
      <c r="S194" s="984"/>
    </row>
    <row r="195" spans="1:19" s="1076" customFormat="1" outlineLevel="1" x14ac:dyDescent="0.15">
      <c r="A195" s="1103">
        <v>16283130220000</v>
      </c>
      <c r="B195" s="974" t="s">
        <v>1702</v>
      </c>
      <c r="C195" s="975"/>
      <c r="D195" s="975"/>
      <c r="E195" s="975"/>
      <c r="F195" s="975"/>
      <c r="G195" s="975"/>
      <c r="H195" s="975"/>
      <c r="I195" s="971">
        <v>0.01</v>
      </c>
      <c r="J195" s="886">
        <v>24200</v>
      </c>
      <c r="K195" s="886">
        <v>56500</v>
      </c>
      <c r="L195" s="886">
        <f t="shared" si="13"/>
        <v>80700</v>
      </c>
      <c r="M195" s="630">
        <v>1</v>
      </c>
      <c r="N195" s="886">
        <f t="shared" si="14"/>
        <v>80700</v>
      </c>
      <c r="O195" s="886" t="s">
        <v>1324</v>
      </c>
      <c r="P195" s="1088" t="s">
        <v>1863</v>
      </c>
      <c r="Q195" s="1090">
        <v>8</v>
      </c>
      <c r="R195" s="771" t="s">
        <v>1867</v>
      </c>
      <c r="S195" s="984"/>
    </row>
    <row r="196" spans="1:19" s="1076" customFormat="1" outlineLevel="1" x14ac:dyDescent="0.15">
      <c r="A196" s="1102" t="s">
        <v>1644</v>
      </c>
      <c r="B196" s="974" t="s">
        <v>1833</v>
      </c>
      <c r="C196" s="975"/>
      <c r="D196" s="975"/>
      <c r="E196" s="975"/>
      <c r="F196" s="975"/>
      <c r="G196" s="975"/>
      <c r="H196" s="975"/>
      <c r="I196" s="971">
        <v>0.31</v>
      </c>
      <c r="J196" s="886">
        <v>26700</v>
      </c>
      <c r="K196" s="886">
        <v>0</v>
      </c>
      <c r="L196" s="886">
        <f t="shared" ref="L196:L248" si="18">SUM(J196:K196)</f>
        <v>26700</v>
      </c>
      <c r="M196" s="630">
        <v>1</v>
      </c>
      <c r="N196" s="886">
        <f t="shared" ref="N196:N248" si="19">L196*M196</f>
        <v>26700</v>
      </c>
      <c r="O196" s="886" t="s">
        <v>1869</v>
      </c>
      <c r="P196" s="1088" t="str">
        <f t="shared" ref="P196:P210" si="20">P195</f>
        <v>ACP</v>
      </c>
      <c r="Q196" s="1090">
        <v>8</v>
      </c>
      <c r="R196" s="771" t="s">
        <v>2044</v>
      </c>
      <c r="S196" s="984"/>
    </row>
    <row r="197" spans="1:19" s="1076" customFormat="1" outlineLevel="1" x14ac:dyDescent="0.15">
      <c r="A197" s="1102" t="s">
        <v>1592</v>
      </c>
      <c r="B197" s="974" t="s">
        <v>1800</v>
      </c>
      <c r="C197" s="975"/>
      <c r="D197" s="975"/>
      <c r="E197" s="975"/>
      <c r="F197" s="975"/>
      <c r="G197" s="975"/>
      <c r="H197" s="975"/>
      <c r="I197" s="971">
        <v>0.43</v>
      </c>
      <c r="J197" s="886">
        <v>362600</v>
      </c>
      <c r="K197" s="886">
        <v>187200</v>
      </c>
      <c r="L197" s="886">
        <f t="shared" si="18"/>
        <v>549800</v>
      </c>
      <c r="M197" s="630">
        <v>1</v>
      </c>
      <c r="N197" s="886">
        <f t="shared" si="19"/>
        <v>549800</v>
      </c>
      <c r="O197" s="886" t="s">
        <v>41</v>
      </c>
      <c r="P197" s="1088" t="str">
        <f t="shared" si="20"/>
        <v>ACP</v>
      </c>
      <c r="Q197" s="1090">
        <v>8</v>
      </c>
      <c r="R197" s="771" t="s">
        <v>2030</v>
      </c>
      <c r="S197" s="984"/>
    </row>
    <row r="198" spans="1:19" s="1076" customFormat="1" outlineLevel="1" x14ac:dyDescent="0.15">
      <c r="A198" s="1102" t="s">
        <v>1624</v>
      </c>
      <c r="B198" s="974" t="s">
        <v>1818</v>
      </c>
      <c r="C198" s="975"/>
      <c r="D198" s="975"/>
      <c r="E198" s="975"/>
      <c r="F198" s="975"/>
      <c r="G198" s="975"/>
      <c r="H198" s="975"/>
      <c r="I198" s="971">
        <v>0.32</v>
      </c>
      <c r="J198" s="886">
        <v>251000</v>
      </c>
      <c r="K198" s="886">
        <v>136200</v>
      </c>
      <c r="L198" s="886">
        <f t="shared" si="18"/>
        <v>387200</v>
      </c>
      <c r="M198" s="630">
        <v>1</v>
      </c>
      <c r="N198" s="886">
        <f t="shared" si="19"/>
        <v>387200</v>
      </c>
      <c r="O198" s="886" t="s">
        <v>41</v>
      </c>
      <c r="P198" s="1088" t="str">
        <f t="shared" si="20"/>
        <v>ACP</v>
      </c>
      <c r="Q198" s="1090">
        <v>8</v>
      </c>
      <c r="R198" s="771" t="s">
        <v>2031</v>
      </c>
      <c r="S198" s="984"/>
    </row>
    <row r="199" spans="1:19" s="1076" customFormat="1" outlineLevel="1" x14ac:dyDescent="0.15">
      <c r="A199" s="1102" t="s">
        <v>1635</v>
      </c>
      <c r="B199" s="974" t="s">
        <v>1829</v>
      </c>
      <c r="C199" s="975"/>
      <c r="D199" s="975"/>
      <c r="E199" s="975"/>
      <c r="F199" s="975"/>
      <c r="G199" s="975"/>
      <c r="H199" s="975"/>
      <c r="I199" s="971">
        <v>0.44</v>
      </c>
      <c r="J199" s="886">
        <v>287500</v>
      </c>
      <c r="K199" s="886">
        <v>318000</v>
      </c>
      <c r="L199" s="886">
        <f t="shared" si="18"/>
        <v>605500</v>
      </c>
      <c r="M199" s="630">
        <v>1</v>
      </c>
      <c r="N199" s="886">
        <f t="shared" si="19"/>
        <v>605500</v>
      </c>
      <c r="O199" s="886" t="s">
        <v>41</v>
      </c>
      <c r="P199" s="1088" t="str">
        <f t="shared" si="20"/>
        <v>ACP</v>
      </c>
      <c r="Q199" s="1090">
        <v>8</v>
      </c>
      <c r="R199" s="771" t="s">
        <v>2043</v>
      </c>
      <c r="S199" s="984"/>
    </row>
    <row r="200" spans="1:19" s="1076" customFormat="1" outlineLevel="1" x14ac:dyDescent="0.15">
      <c r="A200" s="1102" t="s">
        <v>1601</v>
      </c>
      <c r="B200" s="974" t="s">
        <v>1716</v>
      </c>
      <c r="C200" s="974"/>
      <c r="D200" s="974"/>
      <c r="E200" s="974"/>
      <c r="F200" s="974"/>
      <c r="G200" s="974"/>
      <c r="H200" s="974"/>
      <c r="I200" s="1104">
        <v>0.18</v>
      </c>
      <c r="J200" s="886">
        <v>137100</v>
      </c>
      <c r="K200" s="886">
        <v>297100</v>
      </c>
      <c r="L200" s="886">
        <f t="shared" si="18"/>
        <v>434200</v>
      </c>
      <c r="M200" s="630">
        <v>1</v>
      </c>
      <c r="N200" s="886">
        <f t="shared" si="19"/>
        <v>434200</v>
      </c>
      <c r="O200" s="886" t="s">
        <v>41</v>
      </c>
      <c r="P200" s="1088" t="str">
        <f t="shared" si="20"/>
        <v>ACP</v>
      </c>
      <c r="Q200" s="1090">
        <v>8</v>
      </c>
      <c r="R200" s="771" t="s">
        <v>2042</v>
      </c>
      <c r="S200" s="984"/>
    </row>
    <row r="201" spans="1:19" s="1076" customFormat="1" outlineLevel="1" x14ac:dyDescent="0.15">
      <c r="A201" s="1102" t="s">
        <v>1486</v>
      </c>
      <c r="B201" s="974" t="s">
        <v>1716</v>
      </c>
      <c r="C201" s="974"/>
      <c r="D201" s="974"/>
      <c r="E201" s="974"/>
      <c r="F201" s="974"/>
      <c r="G201" s="974"/>
      <c r="H201" s="974"/>
      <c r="I201" s="1104">
        <v>0.16</v>
      </c>
      <c r="J201" s="886">
        <v>74700</v>
      </c>
      <c r="K201" s="886">
        <v>46900</v>
      </c>
      <c r="L201" s="886">
        <f t="shared" si="18"/>
        <v>121600</v>
      </c>
      <c r="M201" s="630">
        <v>1</v>
      </c>
      <c r="N201" s="886">
        <f t="shared" si="19"/>
        <v>121600</v>
      </c>
      <c r="O201" s="886" t="s">
        <v>41</v>
      </c>
      <c r="P201" s="1088" t="str">
        <f t="shared" si="20"/>
        <v>ACP</v>
      </c>
      <c r="Q201" s="1090">
        <v>8</v>
      </c>
      <c r="R201" s="771" t="s">
        <v>2042</v>
      </c>
      <c r="S201" s="984"/>
    </row>
    <row r="202" spans="1:19" s="1076" customFormat="1" outlineLevel="1" x14ac:dyDescent="0.15">
      <c r="A202" s="1102" t="s">
        <v>1512</v>
      </c>
      <c r="B202" s="974" t="s">
        <v>1702</v>
      </c>
      <c r="C202" s="974"/>
      <c r="D202" s="974"/>
      <c r="E202" s="974"/>
      <c r="F202" s="974"/>
      <c r="G202" s="974"/>
      <c r="H202" s="974"/>
      <c r="I202" s="1104">
        <v>0.01</v>
      </c>
      <c r="J202" s="886">
        <v>98000</v>
      </c>
      <c r="K202" s="886">
        <v>228800</v>
      </c>
      <c r="L202" s="886">
        <f t="shared" si="18"/>
        <v>326800</v>
      </c>
      <c r="M202" s="630">
        <v>1</v>
      </c>
      <c r="N202" s="886">
        <f t="shared" si="19"/>
        <v>326800</v>
      </c>
      <c r="O202" s="886" t="s">
        <v>1324</v>
      </c>
      <c r="P202" s="1088" t="str">
        <f t="shared" si="20"/>
        <v>ACP</v>
      </c>
      <c r="Q202" s="1090">
        <v>8</v>
      </c>
      <c r="R202" s="771" t="s">
        <v>1867</v>
      </c>
      <c r="S202" s="984"/>
    </row>
    <row r="203" spans="1:19" s="1076" customFormat="1" outlineLevel="1" x14ac:dyDescent="0.15">
      <c r="A203" s="1102" t="s">
        <v>1529</v>
      </c>
      <c r="B203" s="974" t="s">
        <v>1702</v>
      </c>
      <c r="C203" s="974"/>
      <c r="D203" s="974"/>
      <c r="E203" s="974"/>
      <c r="F203" s="974"/>
      <c r="G203" s="974"/>
      <c r="H203" s="974"/>
      <c r="I203" s="1104">
        <f t="shared" ref="I203:I210" si="21">I202</f>
        <v>0.01</v>
      </c>
      <c r="J203" s="886">
        <v>61200</v>
      </c>
      <c r="K203" s="886">
        <v>142100</v>
      </c>
      <c r="L203" s="886">
        <f t="shared" si="18"/>
        <v>203300</v>
      </c>
      <c r="M203" s="630">
        <v>1</v>
      </c>
      <c r="N203" s="886">
        <f t="shared" si="19"/>
        <v>203300</v>
      </c>
      <c r="O203" s="886" t="s">
        <v>1324</v>
      </c>
      <c r="P203" s="1088" t="str">
        <f t="shared" si="20"/>
        <v>ACP</v>
      </c>
      <c r="Q203" s="1090">
        <v>8</v>
      </c>
      <c r="R203" s="771" t="s">
        <v>1867</v>
      </c>
      <c r="S203" s="984"/>
    </row>
    <row r="204" spans="1:19" s="1076" customFormat="1" outlineLevel="1" x14ac:dyDescent="0.15">
      <c r="A204" s="1102" t="s">
        <v>1650</v>
      </c>
      <c r="B204" s="974" t="s">
        <v>1702</v>
      </c>
      <c r="C204" s="974"/>
      <c r="D204" s="974"/>
      <c r="E204" s="974"/>
      <c r="F204" s="974"/>
      <c r="G204" s="974"/>
      <c r="H204" s="974"/>
      <c r="I204" s="1104">
        <f t="shared" si="21"/>
        <v>0.01</v>
      </c>
      <c r="J204" s="886">
        <v>136600</v>
      </c>
      <c r="K204" s="886">
        <v>318800</v>
      </c>
      <c r="L204" s="886">
        <f t="shared" si="18"/>
        <v>455400</v>
      </c>
      <c r="M204" s="630">
        <v>1</v>
      </c>
      <c r="N204" s="886">
        <f t="shared" si="19"/>
        <v>455400</v>
      </c>
      <c r="O204" s="886" t="s">
        <v>1324</v>
      </c>
      <c r="P204" s="1088" t="str">
        <f t="shared" si="20"/>
        <v>ACP</v>
      </c>
      <c r="Q204" s="1090">
        <v>8</v>
      </c>
      <c r="R204" s="771" t="s">
        <v>1867</v>
      </c>
      <c r="S204" s="984"/>
    </row>
    <row r="205" spans="1:19" s="1076" customFormat="1" outlineLevel="1" x14ac:dyDescent="0.15">
      <c r="A205" s="1102" t="s">
        <v>1695</v>
      </c>
      <c r="B205" s="974" t="s">
        <v>1702</v>
      </c>
      <c r="C205" s="974"/>
      <c r="D205" s="974"/>
      <c r="E205" s="974"/>
      <c r="F205" s="974"/>
      <c r="G205" s="974"/>
      <c r="H205" s="974"/>
      <c r="I205" s="1104">
        <f t="shared" si="21"/>
        <v>0.01</v>
      </c>
      <c r="J205" s="886">
        <v>93600</v>
      </c>
      <c r="K205" s="886">
        <v>218400</v>
      </c>
      <c r="L205" s="886">
        <f t="shared" si="18"/>
        <v>312000</v>
      </c>
      <c r="M205" s="630">
        <v>1</v>
      </c>
      <c r="N205" s="886">
        <f t="shared" si="19"/>
        <v>312000</v>
      </c>
      <c r="O205" s="886" t="s">
        <v>1324</v>
      </c>
      <c r="P205" s="1088" t="str">
        <f t="shared" si="20"/>
        <v>ACP</v>
      </c>
      <c r="Q205" s="1090">
        <v>8</v>
      </c>
      <c r="R205" s="771" t="s">
        <v>1867</v>
      </c>
      <c r="S205" s="984"/>
    </row>
    <row r="206" spans="1:19" s="1076" customFormat="1" outlineLevel="1" x14ac:dyDescent="0.15">
      <c r="A206" s="1102" t="s">
        <v>1653</v>
      </c>
      <c r="B206" s="974" t="s">
        <v>1702</v>
      </c>
      <c r="C206" s="974"/>
      <c r="D206" s="974"/>
      <c r="E206" s="974"/>
      <c r="F206" s="974"/>
      <c r="G206" s="974"/>
      <c r="H206" s="974"/>
      <c r="I206" s="1104">
        <f t="shared" si="21"/>
        <v>0.01</v>
      </c>
      <c r="J206" s="886">
        <v>87400</v>
      </c>
      <c r="K206" s="886">
        <v>203900</v>
      </c>
      <c r="L206" s="886">
        <f t="shared" si="18"/>
        <v>291300</v>
      </c>
      <c r="M206" s="630">
        <v>1</v>
      </c>
      <c r="N206" s="886">
        <f t="shared" si="19"/>
        <v>291300</v>
      </c>
      <c r="O206" s="886" t="s">
        <v>1324</v>
      </c>
      <c r="P206" s="1088" t="str">
        <f t="shared" si="20"/>
        <v>ACP</v>
      </c>
      <c r="Q206" s="1090">
        <v>8</v>
      </c>
      <c r="R206" s="771" t="s">
        <v>1867</v>
      </c>
      <c r="S206" s="984"/>
    </row>
    <row r="207" spans="1:19" s="1076" customFormat="1" outlineLevel="1" x14ac:dyDescent="0.15">
      <c r="A207" s="1102" t="s">
        <v>1577</v>
      </c>
      <c r="B207" s="974" t="s">
        <v>1702</v>
      </c>
      <c r="C207" s="974"/>
      <c r="D207" s="974"/>
      <c r="E207" s="974"/>
      <c r="F207" s="974"/>
      <c r="G207" s="974"/>
      <c r="H207" s="974"/>
      <c r="I207" s="1104">
        <f t="shared" si="21"/>
        <v>0.01</v>
      </c>
      <c r="J207" s="886">
        <v>111200</v>
      </c>
      <c r="K207" s="886">
        <v>259400</v>
      </c>
      <c r="L207" s="886">
        <f t="shared" si="18"/>
        <v>370600</v>
      </c>
      <c r="M207" s="630">
        <v>1</v>
      </c>
      <c r="N207" s="886">
        <f t="shared" si="19"/>
        <v>370600</v>
      </c>
      <c r="O207" s="886" t="s">
        <v>1324</v>
      </c>
      <c r="P207" s="1088" t="str">
        <f t="shared" si="20"/>
        <v>ACP</v>
      </c>
      <c r="Q207" s="1090">
        <v>8</v>
      </c>
      <c r="R207" s="771" t="s">
        <v>1867</v>
      </c>
      <c r="S207" s="984"/>
    </row>
    <row r="208" spans="1:19" s="1076" customFormat="1" outlineLevel="1" x14ac:dyDescent="0.15">
      <c r="A208" s="1102" t="s">
        <v>1575</v>
      </c>
      <c r="B208" s="974" t="s">
        <v>1702</v>
      </c>
      <c r="C208" s="974"/>
      <c r="D208" s="974"/>
      <c r="E208" s="974"/>
      <c r="F208" s="974"/>
      <c r="G208" s="974"/>
      <c r="H208" s="974"/>
      <c r="I208" s="1104">
        <f t="shared" si="21"/>
        <v>0.01</v>
      </c>
      <c r="J208" s="886">
        <v>179000</v>
      </c>
      <c r="K208" s="886">
        <v>417500</v>
      </c>
      <c r="L208" s="886">
        <f t="shared" si="18"/>
        <v>596500</v>
      </c>
      <c r="M208" s="630">
        <v>1</v>
      </c>
      <c r="N208" s="886">
        <f t="shared" si="19"/>
        <v>596500</v>
      </c>
      <c r="O208" s="886" t="s">
        <v>1324</v>
      </c>
      <c r="P208" s="1088" t="str">
        <f t="shared" si="20"/>
        <v>ACP</v>
      </c>
      <c r="Q208" s="1090">
        <v>8</v>
      </c>
      <c r="R208" s="771" t="s">
        <v>1867</v>
      </c>
      <c r="S208" s="984"/>
    </row>
    <row r="209" spans="1:19" s="1076" customFormat="1" outlineLevel="1" x14ac:dyDescent="0.15">
      <c r="A209" s="1102" t="s">
        <v>1626</v>
      </c>
      <c r="B209" s="974" t="s">
        <v>1702</v>
      </c>
      <c r="C209" s="974"/>
      <c r="D209" s="974"/>
      <c r="E209" s="974"/>
      <c r="F209" s="974"/>
      <c r="G209" s="974"/>
      <c r="H209" s="974"/>
      <c r="I209" s="1104">
        <f t="shared" si="21"/>
        <v>0.01</v>
      </c>
      <c r="J209" s="886">
        <v>91000</v>
      </c>
      <c r="K209" s="886">
        <v>212300</v>
      </c>
      <c r="L209" s="886">
        <f t="shared" si="18"/>
        <v>303300</v>
      </c>
      <c r="M209" s="630">
        <v>1</v>
      </c>
      <c r="N209" s="886">
        <f t="shared" si="19"/>
        <v>303300</v>
      </c>
      <c r="O209" s="886" t="s">
        <v>1324</v>
      </c>
      <c r="P209" s="1088" t="str">
        <f t="shared" si="20"/>
        <v>ACP</v>
      </c>
      <c r="Q209" s="1090">
        <v>8</v>
      </c>
      <c r="R209" s="771" t="s">
        <v>1867</v>
      </c>
      <c r="S209" s="984"/>
    </row>
    <row r="210" spans="1:19" s="1076" customFormat="1" outlineLevel="1" x14ac:dyDescent="0.15">
      <c r="A210" s="1102" t="s">
        <v>1540</v>
      </c>
      <c r="B210" s="974" t="s">
        <v>1702</v>
      </c>
      <c r="C210" s="974"/>
      <c r="D210" s="974"/>
      <c r="E210" s="974"/>
      <c r="F210" s="974"/>
      <c r="G210" s="974"/>
      <c r="H210" s="974"/>
      <c r="I210" s="1104">
        <f t="shared" si="21"/>
        <v>0.01</v>
      </c>
      <c r="J210" s="886">
        <v>221800</v>
      </c>
      <c r="K210" s="886">
        <v>517600</v>
      </c>
      <c r="L210" s="886">
        <f t="shared" si="18"/>
        <v>739400</v>
      </c>
      <c r="M210" s="630">
        <v>1</v>
      </c>
      <c r="N210" s="886">
        <f t="shared" si="19"/>
        <v>739400</v>
      </c>
      <c r="O210" s="886" t="s">
        <v>1324</v>
      </c>
      <c r="P210" s="1088" t="str">
        <f t="shared" si="20"/>
        <v>ACP</v>
      </c>
      <c r="Q210" s="1090">
        <v>8</v>
      </c>
      <c r="R210" s="771" t="s">
        <v>1867</v>
      </c>
      <c r="S210" s="984"/>
    </row>
    <row r="211" spans="1:19" s="1076" customFormat="1" outlineLevel="1" x14ac:dyDescent="0.15">
      <c r="A211" s="1102" t="s">
        <v>1488</v>
      </c>
      <c r="B211" s="974" t="s">
        <v>1702</v>
      </c>
      <c r="C211" s="974"/>
      <c r="D211" s="974"/>
      <c r="E211" s="974"/>
      <c r="F211" s="974"/>
      <c r="G211" s="974"/>
      <c r="H211" s="974"/>
      <c r="I211" s="1104">
        <f>I208</f>
        <v>0.01</v>
      </c>
      <c r="J211" s="886">
        <v>105600</v>
      </c>
      <c r="K211" s="886">
        <v>246500</v>
      </c>
      <c r="L211" s="886">
        <f t="shared" si="18"/>
        <v>352100</v>
      </c>
      <c r="M211" s="630">
        <v>1</v>
      </c>
      <c r="N211" s="886">
        <f t="shared" si="19"/>
        <v>352100</v>
      </c>
      <c r="O211" s="886" t="s">
        <v>1324</v>
      </c>
      <c r="P211" s="1088" t="str">
        <f>P208</f>
        <v>ACP</v>
      </c>
      <c r="Q211" s="1090">
        <v>8</v>
      </c>
      <c r="R211" s="771" t="s">
        <v>1867</v>
      </c>
      <c r="S211" s="984"/>
    </row>
    <row r="212" spans="1:19" s="1076" customFormat="1" outlineLevel="1" x14ac:dyDescent="0.15">
      <c r="A212" s="1102" t="s">
        <v>1569</v>
      </c>
      <c r="B212" s="974" t="s">
        <v>1702</v>
      </c>
      <c r="C212" s="974"/>
      <c r="D212" s="974"/>
      <c r="E212" s="974"/>
      <c r="F212" s="974"/>
      <c r="G212" s="974"/>
      <c r="H212" s="974"/>
      <c r="I212" s="1104">
        <f>I211</f>
        <v>0.01</v>
      </c>
      <c r="J212" s="886">
        <v>98500</v>
      </c>
      <c r="K212" s="886">
        <v>229700</v>
      </c>
      <c r="L212" s="886">
        <f t="shared" si="18"/>
        <v>328200</v>
      </c>
      <c r="M212" s="630">
        <v>1</v>
      </c>
      <c r="N212" s="886">
        <f t="shared" si="19"/>
        <v>328200</v>
      </c>
      <c r="O212" s="886" t="s">
        <v>1324</v>
      </c>
      <c r="P212" s="1088" t="str">
        <f t="shared" ref="P212:P219" si="22">P211</f>
        <v>ACP</v>
      </c>
      <c r="Q212" s="1090">
        <v>8</v>
      </c>
      <c r="R212" s="771" t="s">
        <v>1867</v>
      </c>
      <c r="S212" s="984"/>
    </row>
    <row r="213" spans="1:19" s="1076" customFormat="1" outlineLevel="1" x14ac:dyDescent="0.15">
      <c r="A213" s="1102" t="s">
        <v>1473</v>
      </c>
      <c r="B213" s="974" t="s">
        <v>1702</v>
      </c>
      <c r="C213" s="974"/>
      <c r="D213" s="974"/>
      <c r="E213" s="974"/>
      <c r="F213" s="974"/>
      <c r="G213" s="974"/>
      <c r="H213" s="974"/>
      <c r="I213" s="1104">
        <v>0.01</v>
      </c>
      <c r="J213" s="886">
        <v>105700</v>
      </c>
      <c r="K213" s="886">
        <v>246600</v>
      </c>
      <c r="L213" s="886">
        <f t="shared" si="18"/>
        <v>352300</v>
      </c>
      <c r="M213" s="630">
        <v>1</v>
      </c>
      <c r="N213" s="886">
        <f t="shared" si="19"/>
        <v>352300</v>
      </c>
      <c r="O213" s="886" t="s">
        <v>1324</v>
      </c>
      <c r="P213" s="1088" t="str">
        <f t="shared" si="22"/>
        <v>ACP</v>
      </c>
      <c r="Q213" s="1090">
        <v>8</v>
      </c>
      <c r="R213" s="771" t="s">
        <v>1867</v>
      </c>
      <c r="S213" s="984"/>
    </row>
    <row r="214" spans="1:19" s="1076" customFormat="1" outlineLevel="1" x14ac:dyDescent="0.15">
      <c r="A214" s="1102" t="s">
        <v>1511</v>
      </c>
      <c r="B214" s="974" t="s">
        <v>1738</v>
      </c>
      <c r="C214" s="974"/>
      <c r="D214" s="974"/>
      <c r="E214" s="974"/>
      <c r="F214" s="974"/>
      <c r="G214" s="974"/>
      <c r="H214" s="974"/>
      <c r="I214" s="1104">
        <f t="shared" ref="I214:I219" si="23">I213</f>
        <v>0.01</v>
      </c>
      <c r="J214" s="886">
        <v>68500</v>
      </c>
      <c r="K214" s="886">
        <v>159700</v>
      </c>
      <c r="L214" s="886">
        <f t="shared" si="18"/>
        <v>228200</v>
      </c>
      <c r="M214" s="630">
        <v>1</v>
      </c>
      <c r="N214" s="886">
        <f t="shared" si="19"/>
        <v>228200</v>
      </c>
      <c r="O214" s="886" t="s">
        <v>1324</v>
      </c>
      <c r="P214" s="1088" t="str">
        <f t="shared" si="22"/>
        <v>ACP</v>
      </c>
      <c r="Q214" s="1090">
        <f t="shared" ref="Q214:R219" si="24">Q213</f>
        <v>8</v>
      </c>
      <c r="R214" s="771" t="str">
        <f t="shared" si="24"/>
        <v>Highland Dr Office/Condo</v>
      </c>
      <c r="S214" s="984"/>
    </row>
    <row r="215" spans="1:19" s="1076" customFormat="1" outlineLevel="1" x14ac:dyDescent="0.15">
      <c r="A215" s="1102" t="s">
        <v>1587</v>
      </c>
      <c r="B215" s="974" t="s">
        <v>1702</v>
      </c>
      <c r="C215" s="974"/>
      <c r="D215" s="974"/>
      <c r="E215" s="974"/>
      <c r="F215" s="974"/>
      <c r="G215" s="974"/>
      <c r="H215" s="974"/>
      <c r="I215" s="1104">
        <f t="shared" si="23"/>
        <v>0.01</v>
      </c>
      <c r="J215" s="886">
        <v>111900</v>
      </c>
      <c r="K215" s="886">
        <v>261100</v>
      </c>
      <c r="L215" s="886">
        <f t="shared" si="18"/>
        <v>373000</v>
      </c>
      <c r="M215" s="630">
        <v>1</v>
      </c>
      <c r="N215" s="886">
        <f t="shared" si="19"/>
        <v>373000</v>
      </c>
      <c r="O215" s="886" t="s">
        <v>1324</v>
      </c>
      <c r="P215" s="1088" t="str">
        <f t="shared" si="22"/>
        <v>ACP</v>
      </c>
      <c r="Q215" s="1090">
        <f t="shared" si="24"/>
        <v>8</v>
      </c>
      <c r="R215" s="771" t="str">
        <f t="shared" si="24"/>
        <v>Highland Dr Office/Condo</v>
      </c>
      <c r="S215" s="984"/>
    </row>
    <row r="216" spans="1:19" s="1076" customFormat="1" outlineLevel="1" x14ac:dyDescent="0.15">
      <c r="A216" s="1102" t="s">
        <v>1673</v>
      </c>
      <c r="B216" s="974" t="s">
        <v>1702</v>
      </c>
      <c r="C216" s="974"/>
      <c r="D216" s="974"/>
      <c r="E216" s="974"/>
      <c r="F216" s="974"/>
      <c r="G216" s="974"/>
      <c r="H216" s="974"/>
      <c r="I216" s="1104">
        <f t="shared" si="23"/>
        <v>0.01</v>
      </c>
      <c r="J216" s="886">
        <v>110700</v>
      </c>
      <c r="K216" s="886">
        <v>258300</v>
      </c>
      <c r="L216" s="886">
        <f t="shared" si="18"/>
        <v>369000</v>
      </c>
      <c r="M216" s="630">
        <v>1</v>
      </c>
      <c r="N216" s="886">
        <f t="shared" si="19"/>
        <v>369000</v>
      </c>
      <c r="O216" s="886" t="s">
        <v>1324</v>
      </c>
      <c r="P216" s="1088" t="str">
        <f t="shared" si="22"/>
        <v>ACP</v>
      </c>
      <c r="Q216" s="1090">
        <f t="shared" si="24"/>
        <v>8</v>
      </c>
      <c r="R216" s="771" t="str">
        <f t="shared" si="24"/>
        <v>Highland Dr Office/Condo</v>
      </c>
      <c r="S216" s="984"/>
    </row>
    <row r="217" spans="1:19" s="1076" customFormat="1" outlineLevel="1" x14ac:dyDescent="0.15">
      <c r="A217" s="1102" t="s">
        <v>1510</v>
      </c>
      <c r="B217" s="974" t="s">
        <v>1702</v>
      </c>
      <c r="C217" s="974"/>
      <c r="D217" s="974"/>
      <c r="E217" s="974"/>
      <c r="F217" s="974"/>
      <c r="G217" s="974"/>
      <c r="H217" s="974"/>
      <c r="I217" s="1104">
        <f t="shared" si="23"/>
        <v>0.01</v>
      </c>
      <c r="J217" s="886">
        <v>6900</v>
      </c>
      <c r="K217" s="886">
        <v>16000</v>
      </c>
      <c r="L217" s="886">
        <f t="shared" si="18"/>
        <v>22900</v>
      </c>
      <c r="M217" s="630">
        <v>1</v>
      </c>
      <c r="N217" s="886">
        <f t="shared" si="19"/>
        <v>22900</v>
      </c>
      <c r="O217" s="886" t="s">
        <v>1324</v>
      </c>
      <c r="P217" s="1088" t="str">
        <f t="shared" si="22"/>
        <v>ACP</v>
      </c>
      <c r="Q217" s="1090">
        <f t="shared" si="24"/>
        <v>8</v>
      </c>
      <c r="R217" s="771" t="str">
        <f t="shared" si="24"/>
        <v>Highland Dr Office/Condo</v>
      </c>
      <c r="S217" s="984"/>
    </row>
    <row r="218" spans="1:19" s="1076" customFormat="1" outlineLevel="1" x14ac:dyDescent="0.15">
      <c r="A218" s="1102" t="s">
        <v>1543</v>
      </c>
      <c r="B218" s="974" t="s">
        <v>1702</v>
      </c>
      <c r="C218" s="974"/>
      <c r="D218" s="974"/>
      <c r="E218" s="974"/>
      <c r="F218" s="974"/>
      <c r="G218" s="974"/>
      <c r="H218" s="974"/>
      <c r="I218" s="1104">
        <f t="shared" si="23"/>
        <v>0.01</v>
      </c>
      <c r="J218" s="886">
        <v>64700</v>
      </c>
      <c r="K218" s="886">
        <v>151000</v>
      </c>
      <c r="L218" s="886">
        <f t="shared" si="18"/>
        <v>215700</v>
      </c>
      <c r="M218" s="630">
        <v>1</v>
      </c>
      <c r="N218" s="886">
        <f t="shared" si="19"/>
        <v>215700</v>
      </c>
      <c r="O218" s="886" t="s">
        <v>1324</v>
      </c>
      <c r="P218" s="1088" t="str">
        <f t="shared" si="22"/>
        <v>ACP</v>
      </c>
      <c r="Q218" s="1090">
        <f t="shared" si="24"/>
        <v>8</v>
      </c>
      <c r="R218" s="771" t="str">
        <f t="shared" si="24"/>
        <v>Highland Dr Office/Condo</v>
      </c>
      <c r="S218" s="984"/>
    </row>
    <row r="219" spans="1:19" s="1076" customFormat="1" outlineLevel="1" x14ac:dyDescent="0.15">
      <c r="A219" s="1102" t="s">
        <v>1544</v>
      </c>
      <c r="B219" s="974" t="s">
        <v>1702</v>
      </c>
      <c r="C219" s="974"/>
      <c r="D219" s="974"/>
      <c r="E219" s="974"/>
      <c r="F219" s="974"/>
      <c r="G219" s="974"/>
      <c r="H219" s="974"/>
      <c r="I219" s="1104">
        <f t="shared" si="23"/>
        <v>0.01</v>
      </c>
      <c r="J219" s="886">
        <v>33800</v>
      </c>
      <c r="K219" s="886">
        <v>78800</v>
      </c>
      <c r="L219" s="886">
        <f t="shared" si="18"/>
        <v>112600</v>
      </c>
      <c r="M219" s="630">
        <v>1</v>
      </c>
      <c r="N219" s="886">
        <f t="shared" si="19"/>
        <v>112600</v>
      </c>
      <c r="O219" s="886" t="s">
        <v>1324</v>
      </c>
      <c r="P219" s="1088" t="str">
        <f t="shared" si="22"/>
        <v>ACP</v>
      </c>
      <c r="Q219" s="1090">
        <f t="shared" si="24"/>
        <v>8</v>
      </c>
      <c r="R219" s="771" t="str">
        <f t="shared" si="24"/>
        <v>Highland Dr Office/Condo</v>
      </c>
      <c r="S219" s="984"/>
    </row>
    <row r="220" spans="1:19" s="1076" customFormat="1" outlineLevel="1" x14ac:dyDescent="0.15">
      <c r="A220" s="1102" t="s">
        <v>1631</v>
      </c>
      <c r="B220" s="974" t="s">
        <v>1702</v>
      </c>
      <c r="C220" s="974"/>
      <c r="D220" s="974"/>
      <c r="E220" s="974"/>
      <c r="F220" s="974"/>
      <c r="G220" s="974"/>
      <c r="H220" s="974"/>
      <c r="I220" s="1104">
        <v>1.74</v>
      </c>
      <c r="J220" s="886">
        <v>959700</v>
      </c>
      <c r="K220" s="886">
        <v>6278800</v>
      </c>
      <c r="L220" s="886">
        <f t="shared" si="18"/>
        <v>7238500</v>
      </c>
      <c r="M220" s="630">
        <v>1</v>
      </c>
      <c r="N220" s="886">
        <f t="shared" si="19"/>
        <v>7238500</v>
      </c>
      <c r="O220" s="886" t="s">
        <v>1324</v>
      </c>
      <c r="P220" s="1088" t="str">
        <f>P217</f>
        <v>ACP</v>
      </c>
      <c r="Q220" s="1090">
        <f>Q217</f>
        <v>8</v>
      </c>
      <c r="R220" s="771" t="str">
        <f>R217</f>
        <v>Highland Dr Office/Condo</v>
      </c>
      <c r="S220" s="984"/>
    </row>
    <row r="221" spans="1:19" s="1076" customFormat="1" outlineLevel="1" x14ac:dyDescent="0.15">
      <c r="A221" s="1102" t="s">
        <v>1502</v>
      </c>
      <c r="B221" s="974" t="s">
        <v>1732</v>
      </c>
      <c r="C221" s="974"/>
      <c r="D221" s="974"/>
      <c r="E221" s="974"/>
      <c r="F221" s="974"/>
      <c r="G221" s="974"/>
      <c r="H221" s="974"/>
      <c r="I221" s="1104">
        <v>0.17</v>
      </c>
      <c r="J221" s="886">
        <v>76500</v>
      </c>
      <c r="K221" s="886">
        <v>216800</v>
      </c>
      <c r="L221" s="886">
        <f t="shared" si="18"/>
        <v>293300</v>
      </c>
      <c r="M221" s="630">
        <v>0.55000000000000004</v>
      </c>
      <c r="N221" s="886">
        <f t="shared" si="19"/>
        <v>161315</v>
      </c>
      <c r="O221" s="886" t="s">
        <v>1864</v>
      </c>
      <c r="P221" s="1088" t="str">
        <f t="shared" ref="P221:P243" si="25">P220</f>
        <v>ACP</v>
      </c>
      <c r="Q221" s="1090">
        <v>8</v>
      </c>
      <c r="R221" s="771" t="s">
        <v>2021</v>
      </c>
      <c r="S221" s="984"/>
    </row>
    <row r="222" spans="1:19" s="1076" customFormat="1" outlineLevel="1" x14ac:dyDescent="0.15">
      <c r="A222" s="1102" t="s">
        <v>1515</v>
      </c>
      <c r="B222" s="974" t="s">
        <v>1741</v>
      </c>
      <c r="C222" s="974"/>
      <c r="D222" s="974"/>
      <c r="E222" s="974"/>
      <c r="F222" s="974"/>
      <c r="G222" s="974"/>
      <c r="H222" s="974"/>
      <c r="I222" s="1104">
        <v>0.15</v>
      </c>
      <c r="J222" s="886">
        <v>74400</v>
      </c>
      <c r="K222" s="886">
        <v>292800</v>
      </c>
      <c r="L222" s="886">
        <f t="shared" si="18"/>
        <v>367200</v>
      </c>
      <c r="M222" s="630">
        <v>0.55000000000000004</v>
      </c>
      <c r="N222" s="886">
        <f t="shared" si="19"/>
        <v>201960.00000000003</v>
      </c>
      <c r="O222" s="886" t="s">
        <v>1864</v>
      </c>
      <c r="P222" s="1088" t="str">
        <f t="shared" si="25"/>
        <v>ACP</v>
      </c>
      <c r="Q222" s="1090">
        <v>8</v>
      </c>
      <c r="R222" s="771" t="s">
        <v>2022</v>
      </c>
      <c r="S222" s="984"/>
    </row>
    <row r="223" spans="1:19" s="1076" customFormat="1" outlineLevel="1" x14ac:dyDescent="0.15">
      <c r="A223" s="1102" t="s">
        <v>1530</v>
      </c>
      <c r="B223" s="974" t="s">
        <v>1753</v>
      </c>
      <c r="C223" s="974"/>
      <c r="D223" s="974"/>
      <c r="E223" s="974"/>
      <c r="F223" s="974"/>
      <c r="G223" s="974"/>
      <c r="H223" s="974"/>
      <c r="I223" s="1104">
        <v>0.75</v>
      </c>
      <c r="J223" s="886">
        <v>523700</v>
      </c>
      <c r="K223" s="886">
        <v>617400</v>
      </c>
      <c r="L223" s="886">
        <f t="shared" si="18"/>
        <v>1141100</v>
      </c>
      <c r="M223" s="630">
        <v>1</v>
      </c>
      <c r="N223" s="886">
        <f t="shared" si="19"/>
        <v>1141100</v>
      </c>
      <c r="O223" s="886" t="s">
        <v>41</v>
      </c>
      <c r="P223" s="1088" t="str">
        <f t="shared" si="25"/>
        <v>ACP</v>
      </c>
      <c r="Q223" s="1090">
        <v>8</v>
      </c>
      <c r="R223" s="771" t="s">
        <v>2023</v>
      </c>
      <c r="S223" s="984"/>
    </row>
    <row r="224" spans="1:19" s="1076" customFormat="1" x14ac:dyDescent="0.15">
      <c r="A224" s="1102" t="s">
        <v>1602</v>
      </c>
      <c r="B224" s="974" t="s">
        <v>1808</v>
      </c>
      <c r="C224" s="974"/>
      <c r="D224" s="974"/>
      <c r="E224" s="974"/>
      <c r="F224" s="974"/>
      <c r="G224" s="974"/>
      <c r="H224" s="974"/>
      <c r="I224" s="1104">
        <v>0.6</v>
      </c>
      <c r="J224" s="886">
        <v>384200</v>
      </c>
      <c r="K224" s="886">
        <v>579000</v>
      </c>
      <c r="L224" s="886">
        <f t="shared" si="18"/>
        <v>963200</v>
      </c>
      <c r="M224" s="630">
        <v>1</v>
      </c>
      <c r="N224" s="886">
        <f t="shared" si="19"/>
        <v>963200</v>
      </c>
      <c r="O224" s="886" t="s">
        <v>41</v>
      </c>
      <c r="P224" s="1088" t="str">
        <f t="shared" si="25"/>
        <v>ACP</v>
      </c>
      <c r="Q224" s="1090">
        <v>8</v>
      </c>
      <c r="R224" s="771" t="s">
        <v>2024</v>
      </c>
      <c r="S224" s="984"/>
    </row>
    <row r="225" spans="1:19" s="1076" customFormat="1" x14ac:dyDescent="0.15">
      <c r="A225" s="1102" t="s">
        <v>1519</v>
      </c>
      <c r="B225" s="974" t="s">
        <v>1705</v>
      </c>
      <c r="C225" s="974"/>
      <c r="D225" s="974"/>
      <c r="E225" s="974"/>
      <c r="F225" s="974"/>
      <c r="G225" s="974"/>
      <c r="H225" s="974"/>
      <c r="I225" s="1104">
        <v>0.36</v>
      </c>
      <c r="J225" s="1094">
        <v>254000</v>
      </c>
      <c r="K225" s="1094">
        <v>656900</v>
      </c>
      <c r="L225" s="1094">
        <f t="shared" si="18"/>
        <v>910900</v>
      </c>
      <c r="M225" s="1095">
        <v>0</v>
      </c>
      <c r="N225" s="1094">
        <f t="shared" si="19"/>
        <v>0</v>
      </c>
      <c r="O225" s="1096" t="s">
        <v>1872</v>
      </c>
      <c r="P225" s="1097" t="str">
        <f t="shared" si="25"/>
        <v>ACP</v>
      </c>
      <c r="Q225" s="1098">
        <v>8</v>
      </c>
      <c r="R225" s="1099" t="s">
        <v>1871</v>
      </c>
      <c r="S225" s="984"/>
    </row>
    <row r="226" spans="1:19" s="1076" customFormat="1" x14ac:dyDescent="0.15">
      <c r="A226" s="1102" t="s">
        <v>1476</v>
      </c>
      <c r="B226" s="974" t="s">
        <v>1705</v>
      </c>
      <c r="C226" s="974"/>
      <c r="D226" s="974"/>
      <c r="E226" s="974"/>
      <c r="F226" s="974"/>
      <c r="G226" s="974"/>
      <c r="H226" s="974"/>
      <c r="I226" s="1104">
        <v>0.23</v>
      </c>
      <c r="J226" s="1094">
        <v>168300</v>
      </c>
      <c r="K226" s="1094">
        <v>0</v>
      </c>
      <c r="L226" s="1094">
        <f t="shared" si="18"/>
        <v>168300</v>
      </c>
      <c r="M226" s="1095">
        <v>0</v>
      </c>
      <c r="N226" s="1094">
        <f t="shared" si="19"/>
        <v>0</v>
      </c>
      <c r="O226" s="1096" t="s">
        <v>1870</v>
      </c>
      <c r="P226" s="1097" t="str">
        <f t="shared" si="25"/>
        <v>ACP</v>
      </c>
      <c r="Q226" s="1098">
        <v>8</v>
      </c>
      <c r="R226" s="1099" t="s">
        <v>1871</v>
      </c>
      <c r="S226" s="984"/>
    </row>
    <row r="227" spans="1:19" s="1076" customFormat="1" x14ac:dyDescent="0.15">
      <c r="A227" s="1102" t="s">
        <v>1589</v>
      </c>
      <c r="B227" s="974" t="s">
        <v>1705</v>
      </c>
      <c r="C227" s="974"/>
      <c r="D227" s="974"/>
      <c r="E227" s="974"/>
      <c r="F227" s="974"/>
      <c r="G227" s="974"/>
      <c r="H227" s="974"/>
      <c r="I227" s="1104">
        <v>0.48</v>
      </c>
      <c r="J227" s="1094">
        <v>323200</v>
      </c>
      <c r="K227" s="1094">
        <v>0</v>
      </c>
      <c r="L227" s="1094">
        <f t="shared" si="18"/>
        <v>323200</v>
      </c>
      <c r="M227" s="1095">
        <v>0</v>
      </c>
      <c r="N227" s="1094">
        <f t="shared" si="19"/>
        <v>0</v>
      </c>
      <c r="O227" s="1096" t="s">
        <v>1870</v>
      </c>
      <c r="P227" s="1097" t="str">
        <f t="shared" si="25"/>
        <v>ACP</v>
      </c>
      <c r="Q227" s="1098">
        <v>8</v>
      </c>
      <c r="R227" s="1099" t="s">
        <v>1871</v>
      </c>
      <c r="S227" s="984"/>
    </row>
    <row r="228" spans="1:19" s="1076" customFormat="1" outlineLevel="1" x14ac:dyDescent="0.15">
      <c r="A228" s="1102" t="s">
        <v>1681</v>
      </c>
      <c r="B228" s="974" t="s">
        <v>1853</v>
      </c>
      <c r="C228" s="974"/>
      <c r="D228" s="974"/>
      <c r="E228" s="974"/>
      <c r="F228" s="974"/>
      <c r="G228" s="974"/>
      <c r="H228" s="974"/>
      <c r="I228" s="1104">
        <v>0.23</v>
      </c>
      <c r="J228" s="886">
        <v>278000</v>
      </c>
      <c r="K228" s="886">
        <v>116800</v>
      </c>
      <c r="L228" s="886">
        <f t="shared" si="18"/>
        <v>394800</v>
      </c>
      <c r="M228" s="630">
        <v>0.55000000000000004</v>
      </c>
      <c r="N228" s="886">
        <f t="shared" si="19"/>
        <v>217140.00000000003</v>
      </c>
      <c r="O228" s="886" t="s">
        <v>1864</v>
      </c>
      <c r="P228" s="1088" t="str">
        <f t="shared" si="25"/>
        <v>ACP</v>
      </c>
      <c r="Q228" s="1090">
        <v>8</v>
      </c>
      <c r="R228" s="771" t="s">
        <v>2037</v>
      </c>
      <c r="S228" s="984"/>
    </row>
    <row r="229" spans="1:19" s="1076" customFormat="1" outlineLevel="1" x14ac:dyDescent="0.15">
      <c r="A229" s="1102" t="s">
        <v>1645</v>
      </c>
      <c r="B229" s="974" t="s">
        <v>1834</v>
      </c>
      <c r="C229" s="974"/>
      <c r="D229" s="974"/>
      <c r="E229" s="974"/>
      <c r="F229" s="974"/>
      <c r="G229" s="974"/>
      <c r="H229" s="974"/>
      <c r="I229" s="1104">
        <v>0.28000000000000003</v>
      </c>
      <c r="J229" s="886">
        <v>116200</v>
      </c>
      <c r="K229" s="886">
        <v>104600</v>
      </c>
      <c r="L229" s="886">
        <f t="shared" si="18"/>
        <v>220800</v>
      </c>
      <c r="M229" s="630">
        <v>0.55000000000000004</v>
      </c>
      <c r="N229" s="886">
        <f t="shared" si="19"/>
        <v>121440.00000000001</v>
      </c>
      <c r="O229" s="886" t="s">
        <v>1864</v>
      </c>
      <c r="P229" s="1088" t="str">
        <f t="shared" si="25"/>
        <v>ACP</v>
      </c>
      <c r="Q229" s="1090">
        <v>8</v>
      </c>
      <c r="R229" s="771" t="s">
        <v>2036</v>
      </c>
      <c r="S229" s="984"/>
    </row>
    <row r="230" spans="1:19" s="1076" customFormat="1" outlineLevel="1" x14ac:dyDescent="0.15">
      <c r="A230" s="1102" t="s">
        <v>1668</v>
      </c>
      <c r="B230" s="974" t="s">
        <v>1845</v>
      </c>
      <c r="C230" s="974"/>
      <c r="D230" s="974"/>
      <c r="E230" s="974"/>
      <c r="F230" s="974"/>
      <c r="G230" s="974"/>
      <c r="H230" s="974"/>
      <c r="I230" s="1104">
        <v>0.28000000000000003</v>
      </c>
      <c r="J230" s="886">
        <v>116200</v>
      </c>
      <c r="K230" s="886">
        <v>88200</v>
      </c>
      <c r="L230" s="886">
        <f t="shared" si="18"/>
        <v>204400</v>
      </c>
      <c r="M230" s="630">
        <v>0.55000000000000004</v>
      </c>
      <c r="N230" s="886">
        <f t="shared" si="19"/>
        <v>112420.00000000001</v>
      </c>
      <c r="O230" s="886" t="s">
        <v>1864</v>
      </c>
      <c r="P230" s="1088" t="str">
        <f t="shared" si="25"/>
        <v>ACP</v>
      </c>
      <c r="Q230" s="1090">
        <v>8</v>
      </c>
      <c r="R230" s="771" t="s">
        <v>2035</v>
      </c>
      <c r="S230" s="984"/>
    </row>
    <row r="231" spans="1:19" s="1076" customFormat="1" outlineLevel="1" x14ac:dyDescent="0.15">
      <c r="A231" s="1102" t="s">
        <v>1579</v>
      </c>
      <c r="B231" s="974" t="s">
        <v>1791</v>
      </c>
      <c r="C231" s="974"/>
      <c r="D231" s="974"/>
      <c r="E231" s="974"/>
      <c r="F231" s="974"/>
      <c r="G231" s="974"/>
      <c r="H231" s="974"/>
      <c r="I231" s="1104">
        <v>0.28000000000000003</v>
      </c>
      <c r="J231" s="886">
        <v>109790</v>
      </c>
      <c r="K231" s="886">
        <v>138490</v>
      </c>
      <c r="L231" s="886">
        <f t="shared" si="18"/>
        <v>248280</v>
      </c>
      <c r="M231" s="630">
        <v>0.83239890400000005</v>
      </c>
      <c r="N231" s="886">
        <f t="shared" si="19"/>
        <v>206667.99988512002</v>
      </c>
      <c r="O231" s="886" t="s">
        <v>41</v>
      </c>
      <c r="P231" s="1088" t="str">
        <f t="shared" si="25"/>
        <v>ACP</v>
      </c>
      <c r="Q231" s="1090">
        <v>8</v>
      </c>
      <c r="R231" s="771" t="s">
        <v>2034</v>
      </c>
      <c r="S231" s="984"/>
    </row>
    <row r="232" spans="1:19" s="1076" customFormat="1" outlineLevel="1" x14ac:dyDescent="0.15">
      <c r="A232" s="1102" t="s">
        <v>1687</v>
      </c>
      <c r="B232" s="974" t="s">
        <v>1857</v>
      </c>
      <c r="C232" s="974"/>
      <c r="D232" s="974"/>
      <c r="E232" s="974"/>
      <c r="F232" s="974"/>
      <c r="G232" s="974"/>
      <c r="H232" s="974"/>
      <c r="I232" s="1104">
        <v>0.35</v>
      </c>
      <c r="J232" s="886">
        <v>252800</v>
      </c>
      <c r="K232" s="886">
        <v>592900</v>
      </c>
      <c r="L232" s="886">
        <f t="shared" si="18"/>
        <v>845700</v>
      </c>
      <c r="M232" s="630">
        <v>0.55000000000000004</v>
      </c>
      <c r="N232" s="886">
        <f t="shared" si="19"/>
        <v>465135.00000000006</v>
      </c>
      <c r="O232" s="886" t="s">
        <v>1873</v>
      </c>
      <c r="P232" s="1088" t="str">
        <f t="shared" si="25"/>
        <v>ACP</v>
      </c>
      <c r="Q232" s="1090">
        <v>8</v>
      </c>
      <c r="R232" s="771" t="s">
        <v>2033</v>
      </c>
      <c r="S232" s="984"/>
    </row>
    <row r="233" spans="1:19" s="1076" customFormat="1" outlineLevel="1" x14ac:dyDescent="0.15">
      <c r="A233" s="1102" t="s">
        <v>1612</v>
      </c>
      <c r="B233" s="974" t="s">
        <v>1818</v>
      </c>
      <c r="C233" s="974"/>
      <c r="D233" s="974"/>
      <c r="E233" s="974"/>
      <c r="F233" s="974"/>
      <c r="G233" s="974"/>
      <c r="H233" s="974"/>
      <c r="I233" s="1104">
        <v>0.43</v>
      </c>
      <c r="J233" s="886">
        <v>259100</v>
      </c>
      <c r="K233" s="886">
        <v>219100</v>
      </c>
      <c r="L233" s="886">
        <f t="shared" si="18"/>
        <v>478200</v>
      </c>
      <c r="M233" s="630">
        <v>1</v>
      </c>
      <c r="N233" s="886">
        <f t="shared" si="19"/>
        <v>478200</v>
      </c>
      <c r="O233" s="886" t="s">
        <v>1360</v>
      </c>
      <c r="P233" s="1088" t="str">
        <f t="shared" si="25"/>
        <v>ACP</v>
      </c>
      <c r="Q233" s="1090">
        <v>8</v>
      </c>
      <c r="R233" s="771" t="s">
        <v>2032</v>
      </c>
      <c r="S233" s="984"/>
    </row>
    <row r="234" spans="1:19" s="1076" customFormat="1" x14ac:dyDescent="0.15">
      <c r="A234" s="1102" t="s">
        <v>1665</v>
      </c>
      <c r="B234" s="974" t="s">
        <v>1818</v>
      </c>
      <c r="C234" s="974"/>
      <c r="D234" s="974"/>
      <c r="E234" s="974"/>
      <c r="F234" s="974"/>
      <c r="G234" s="974"/>
      <c r="H234" s="974"/>
      <c r="I234" s="1104">
        <v>0.73</v>
      </c>
      <c r="J234" s="886">
        <v>200300</v>
      </c>
      <c r="K234" s="886">
        <v>17800</v>
      </c>
      <c r="L234" s="886">
        <f t="shared" si="18"/>
        <v>218100</v>
      </c>
      <c r="M234" s="630">
        <v>1</v>
      </c>
      <c r="N234" s="886">
        <f t="shared" si="19"/>
        <v>218100</v>
      </c>
      <c r="O234" s="886" t="s">
        <v>1889</v>
      </c>
      <c r="P234" s="1088" t="str">
        <f t="shared" si="25"/>
        <v>ACP</v>
      </c>
      <c r="Q234" s="1090">
        <v>8</v>
      </c>
      <c r="R234" s="771" t="s">
        <v>2029</v>
      </c>
      <c r="S234" s="984"/>
    </row>
    <row r="235" spans="1:19" s="1076" customFormat="1" x14ac:dyDescent="0.15">
      <c r="A235" s="1102" t="s">
        <v>1545</v>
      </c>
      <c r="B235" s="974" t="s">
        <v>1763</v>
      </c>
      <c r="C235" s="974"/>
      <c r="D235" s="974"/>
      <c r="E235" s="974"/>
      <c r="F235" s="974"/>
      <c r="G235" s="974"/>
      <c r="H235" s="974"/>
      <c r="I235" s="1104">
        <v>0.76</v>
      </c>
      <c r="J235" s="886">
        <v>500800</v>
      </c>
      <c r="K235" s="886">
        <v>1433500</v>
      </c>
      <c r="L235" s="886">
        <f t="shared" si="18"/>
        <v>1934300</v>
      </c>
      <c r="M235" s="630">
        <v>1</v>
      </c>
      <c r="N235" s="886">
        <f t="shared" si="19"/>
        <v>1934300</v>
      </c>
      <c r="O235" s="886" t="s">
        <v>41</v>
      </c>
      <c r="P235" s="1088" t="str">
        <f t="shared" si="25"/>
        <v>ACP</v>
      </c>
      <c r="Q235" s="1090">
        <v>8</v>
      </c>
      <c r="R235" s="771" t="s">
        <v>2025</v>
      </c>
      <c r="S235" s="984"/>
    </row>
    <row r="236" spans="1:19" s="1076" customFormat="1" x14ac:dyDescent="0.15">
      <c r="A236" s="1102" t="s">
        <v>1580</v>
      </c>
      <c r="B236" s="974" t="s">
        <v>1792</v>
      </c>
      <c r="C236" s="974"/>
      <c r="D236" s="974"/>
      <c r="E236" s="974"/>
      <c r="F236" s="974"/>
      <c r="G236" s="974"/>
      <c r="H236" s="974"/>
      <c r="I236" s="1104">
        <v>0.32</v>
      </c>
      <c r="J236" s="886">
        <v>211300</v>
      </c>
      <c r="K236" s="886">
        <v>436900</v>
      </c>
      <c r="L236" s="886">
        <f t="shared" si="18"/>
        <v>648200</v>
      </c>
      <c r="M236" s="630">
        <v>1</v>
      </c>
      <c r="N236" s="886">
        <f t="shared" si="19"/>
        <v>648200</v>
      </c>
      <c r="O236" s="886" t="s">
        <v>41</v>
      </c>
      <c r="P236" s="1088" t="str">
        <f t="shared" si="25"/>
        <v>ACP</v>
      </c>
      <c r="Q236" s="1090">
        <v>8</v>
      </c>
      <c r="R236" s="771" t="s">
        <v>2028</v>
      </c>
      <c r="S236" s="984"/>
    </row>
    <row r="237" spans="1:19" s="1076" customFormat="1" x14ac:dyDescent="0.15">
      <c r="A237" s="1102" t="s">
        <v>1648</v>
      </c>
      <c r="B237" s="974" t="s">
        <v>1755</v>
      </c>
      <c r="C237" s="974"/>
      <c r="D237" s="974"/>
      <c r="E237" s="974"/>
      <c r="F237" s="974"/>
      <c r="G237" s="974"/>
      <c r="H237" s="974"/>
      <c r="I237" s="1104">
        <v>0.08</v>
      </c>
      <c r="J237" s="886">
        <v>36600</v>
      </c>
      <c r="K237" s="886">
        <v>0</v>
      </c>
      <c r="L237" s="886">
        <f t="shared" si="18"/>
        <v>36600</v>
      </c>
      <c r="M237" s="630">
        <v>1</v>
      </c>
      <c r="N237" s="886">
        <f t="shared" si="19"/>
        <v>36600</v>
      </c>
      <c r="O237" s="886" t="s">
        <v>1940</v>
      </c>
      <c r="P237" s="1088" t="str">
        <f t="shared" si="25"/>
        <v>ACP</v>
      </c>
      <c r="Q237" s="1090">
        <v>8</v>
      </c>
      <c r="R237" s="771" t="s">
        <v>2026</v>
      </c>
      <c r="S237" s="984"/>
    </row>
    <row r="238" spans="1:19" s="1076" customFormat="1" x14ac:dyDescent="0.15">
      <c r="A238" s="1102" t="s">
        <v>1537</v>
      </c>
      <c r="B238" s="974" t="s">
        <v>1755</v>
      </c>
      <c r="C238" s="974"/>
      <c r="D238" s="974"/>
      <c r="E238" s="974"/>
      <c r="F238" s="974"/>
      <c r="G238" s="974"/>
      <c r="H238" s="974"/>
      <c r="I238" s="1104">
        <v>0.56000000000000005</v>
      </c>
      <c r="J238" s="886">
        <v>208800</v>
      </c>
      <c r="K238" s="886">
        <v>207700</v>
      </c>
      <c r="L238" s="886">
        <f t="shared" si="18"/>
        <v>416500</v>
      </c>
      <c r="M238" s="630">
        <v>1</v>
      </c>
      <c r="N238" s="886">
        <f t="shared" si="19"/>
        <v>416500</v>
      </c>
      <c r="O238" s="886" t="s">
        <v>41</v>
      </c>
      <c r="P238" s="1088" t="str">
        <f t="shared" si="25"/>
        <v>ACP</v>
      </c>
      <c r="Q238" s="1090">
        <v>8</v>
      </c>
      <c r="R238" s="771" t="s">
        <v>2027</v>
      </c>
      <c r="S238" s="984"/>
    </row>
    <row r="239" spans="1:19" s="1076" customFormat="1" x14ac:dyDescent="0.15">
      <c r="A239" s="1102" t="s">
        <v>1614</v>
      </c>
      <c r="B239" s="974" t="s">
        <v>1820</v>
      </c>
      <c r="C239" s="974"/>
      <c r="D239" s="974"/>
      <c r="E239" s="974"/>
      <c r="F239" s="974"/>
      <c r="G239" s="974"/>
      <c r="H239" s="974"/>
      <c r="I239" s="1104">
        <v>1.1499999999999999</v>
      </c>
      <c r="J239" s="886">
        <v>751390</v>
      </c>
      <c r="K239" s="886">
        <v>819890</v>
      </c>
      <c r="L239" s="886">
        <f t="shared" si="18"/>
        <v>1571280</v>
      </c>
      <c r="M239" s="630">
        <v>1</v>
      </c>
      <c r="N239" s="886">
        <f t="shared" si="19"/>
        <v>1571280</v>
      </c>
      <c r="O239" s="886" t="s">
        <v>41</v>
      </c>
      <c r="P239" s="1088" t="str">
        <f t="shared" si="25"/>
        <v>ACP</v>
      </c>
      <c r="Q239" s="1090">
        <v>8</v>
      </c>
      <c r="R239" s="771" t="s">
        <v>2026</v>
      </c>
      <c r="S239" s="984"/>
    </row>
    <row r="240" spans="1:19" s="1076" customFormat="1" x14ac:dyDescent="0.15">
      <c r="A240" s="1102" t="s">
        <v>1567</v>
      </c>
      <c r="B240" s="974" t="s">
        <v>1782</v>
      </c>
      <c r="C240" s="974"/>
      <c r="D240" s="974"/>
      <c r="E240" s="974"/>
      <c r="F240" s="974"/>
      <c r="G240" s="974"/>
      <c r="H240" s="974"/>
      <c r="I240" s="1104">
        <v>0.22</v>
      </c>
      <c r="J240" s="886">
        <v>500</v>
      </c>
      <c r="K240" s="886">
        <v>0</v>
      </c>
      <c r="L240" s="886">
        <f t="shared" si="18"/>
        <v>500</v>
      </c>
      <c r="M240" s="630">
        <v>0</v>
      </c>
      <c r="N240" s="886">
        <f t="shared" si="19"/>
        <v>0</v>
      </c>
      <c r="O240" s="886" t="s">
        <v>1930</v>
      </c>
      <c r="P240" s="1088" t="str">
        <f t="shared" si="25"/>
        <v>ACP</v>
      </c>
      <c r="Q240" s="1090">
        <v>8</v>
      </c>
      <c r="R240" s="771" t="s">
        <v>1952</v>
      </c>
      <c r="S240" s="984"/>
    </row>
    <row r="241" spans="1:19" s="1076" customFormat="1" x14ac:dyDescent="0.15">
      <c r="A241" s="1102" t="s">
        <v>1611</v>
      </c>
      <c r="B241" s="974" t="s">
        <v>1817</v>
      </c>
      <c r="C241" s="974"/>
      <c r="D241" s="974"/>
      <c r="E241" s="974"/>
      <c r="F241" s="974"/>
      <c r="G241" s="974"/>
      <c r="H241" s="974"/>
      <c r="I241" s="1104">
        <v>0.31</v>
      </c>
      <c r="J241" s="886">
        <v>119900</v>
      </c>
      <c r="K241" s="886">
        <v>59200</v>
      </c>
      <c r="L241" s="886">
        <f t="shared" si="18"/>
        <v>179100</v>
      </c>
      <c r="M241" s="630">
        <v>0.55000000000000004</v>
      </c>
      <c r="N241" s="886">
        <f t="shared" si="19"/>
        <v>98505.000000000015</v>
      </c>
      <c r="O241" s="886" t="s">
        <v>1864</v>
      </c>
      <c r="P241" s="1088" t="str">
        <f t="shared" si="25"/>
        <v>ACP</v>
      </c>
      <c r="Q241" s="1090">
        <v>8</v>
      </c>
      <c r="R241" s="771" t="s">
        <v>2041</v>
      </c>
      <c r="S241" s="984"/>
    </row>
    <row r="242" spans="1:19" s="1076" customFormat="1" x14ac:dyDescent="0.15">
      <c r="A242" s="1102" t="s">
        <v>1591</v>
      </c>
      <c r="B242" s="974" t="s">
        <v>1799</v>
      </c>
      <c r="C242" s="974"/>
      <c r="D242" s="974"/>
      <c r="E242" s="974"/>
      <c r="F242" s="974"/>
      <c r="G242" s="974"/>
      <c r="H242" s="974"/>
      <c r="I242" s="1104">
        <v>1.21</v>
      </c>
      <c r="J242" s="886">
        <v>894600</v>
      </c>
      <c r="K242" s="886">
        <v>2188700</v>
      </c>
      <c r="L242" s="886">
        <f t="shared" si="18"/>
        <v>3083300</v>
      </c>
      <c r="M242" s="630">
        <v>1</v>
      </c>
      <c r="N242" s="886">
        <f t="shared" si="19"/>
        <v>3083300</v>
      </c>
      <c r="O242" s="886" t="s">
        <v>41</v>
      </c>
      <c r="P242" s="1088" t="str">
        <f t="shared" si="25"/>
        <v>ACP</v>
      </c>
      <c r="Q242" s="1090">
        <v>8</v>
      </c>
      <c r="R242" s="771" t="s">
        <v>2040</v>
      </c>
      <c r="S242" s="984"/>
    </row>
    <row r="243" spans="1:19" s="1076" customFormat="1" x14ac:dyDescent="0.15">
      <c r="A243" s="1102" t="s">
        <v>1678</v>
      </c>
      <c r="B243" s="974" t="s">
        <v>1851</v>
      </c>
      <c r="C243" s="974"/>
      <c r="D243" s="974"/>
      <c r="E243" s="974"/>
      <c r="F243" s="974"/>
      <c r="G243" s="974"/>
      <c r="H243" s="974"/>
      <c r="I243" s="1104">
        <v>2.33</v>
      </c>
      <c r="J243" s="886">
        <v>913500</v>
      </c>
      <c r="K243" s="886">
        <v>38200</v>
      </c>
      <c r="L243" s="886">
        <f t="shared" si="18"/>
        <v>951700</v>
      </c>
      <c r="M243" s="630">
        <v>1</v>
      </c>
      <c r="N243" s="886">
        <f t="shared" si="19"/>
        <v>951700</v>
      </c>
      <c r="O243" s="886" t="s">
        <v>1886</v>
      </c>
      <c r="P243" s="1088" t="str">
        <f t="shared" si="25"/>
        <v>ACP</v>
      </c>
      <c r="Q243" s="1090">
        <v>8</v>
      </c>
      <c r="R243" s="771" t="s">
        <v>2038</v>
      </c>
      <c r="S243" s="984"/>
    </row>
    <row r="244" spans="1:19" s="1076" customFormat="1" x14ac:dyDescent="0.15">
      <c r="A244" s="1103">
        <v>16292800200000</v>
      </c>
      <c r="B244" s="974" t="s">
        <v>1753</v>
      </c>
      <c r="C244" s="974"/>
      <c r="D244" s="974"/>
      <c r="E244" s="974"/>
      <c r="F244" s="974"/>
      <c r="G244" s="974"/>
      <c r="H244" s="974"/>
      <c r="I244" s="1104">
        <v>0.56000000000000005</v>
      </c>
      <c r="J244" s="886">
        <v>193500</v>
      </c>
      <c r="K244" s="886">
        <v>610300</v>
      </c>
      <c r="L244" s="886">
        <f t="shared" si="18"/>
        <v>803800</v>
      </c>
      <c r="M244" s="630">
        <v>1</v>
      </c>
      <c r="N244" s="886">
        <f t="shared" si="19"/>
        <v>803800</v>
      </c>
      <c r="O244" s="886" t="s">
        <v>1324</v>
      </c>
      <c r="P244" s="1088" t="s">
        <v>1863</v>
      </c>
      <c r="Q244" s="1090">
        <v>8</v>
      </c>
      <c r="R244" s="771"/>
      <c r="S244" s="984"/>
    </row>
    <row r="245" spans="1:19" s="1076" customFormat="1" x14ac:dyDescent="0.15">
      <c r="A245" s="1103">
        <v>16292800140000</v>
      </c>
      <c r="B245" s="974" t="s">
        <v>2128</v>
      </c>
      <c r="C245" s="974"/>
      <c r="D245" s="974"/>
      <c r="E245" s="974"/>
      <c r="F245" s="974"/>
      <c r="G245" s="974"/>
      <c r="H245" s="974"/>
      <c r="I245" s="1104">
        <v>0.32</v>
      </c>
      <c r="J245" s="886">
        <v>122000</v>
      </c>
      <c r="K245" s="886">
        <v>114200</v>
      </c>
      <c r="L245" s="886">
        <f t="shared" si="18"/>
        <v>236200</v>
      </c>
      <c r="M245" s="630">
        <v>0.55000000000000004</v>
      </c>
      <c r="N245" s="886">
        <f t="shared" si="19"/>
        <v>129910.00000000001</v>
      </c>
      <c r="O245" s="886" t="s">
        <v>26</v>
      </c>
      <c r="P245" s="1088" t="s">
        <v>1863</v>
      </c>
      <c r="Q245" s="1090">
        <v>8</v>
      </c>
      <c r="R245" s="771"/>
      <c r="S245" s="984"/>
    </row>
    <row r="246" spans="1:19" s="1076" customFormat="1" x14ac:dyDescent="0.15">
      <c r="A246" s="1103">
        <v>16292800130000</v>
      </c>
      <c r="B246" s="974" t="s">
        <v>2128</v>
      </c>
      <c r="C246" s="974"/>
      <c r="D246" s="974"/>
      <c r="E246" s="974"/>
      <c r="F246" s="974"/>
      <c r="G246" s="974"/>
      <c r="H246" s="974"/>
      <c r="I246" s="1104">
        <v>0.32</v>
      </c>
      <c r="J246" s="886">
        <v>122000</v>
      </c>
      <c r="K246" s="886">
        <v>200200</v>
      </c>
      <c r="L246" s="886">
        <f t="shared" si="18"/>
        <v>322200</v>
      </c>
      <c r="M246" s="630">
        <v>0.55000000000000004</v>
      </c>
      <c r="N246" s="886">
        <f t="shared" si="19"/>
        <v>177210</v>
      </c>
      <c r="O246" s="886" t="s">
        <v>26</v>
      </c>
      <c r="P246" s="1088" t="s">
        <v>1863</v>
      </c>
      <c r="Q246" s="1090">
        <v>8</v>
      </c>
      <c r="R246" s="771"/>
      <c r="S246" s="984"/>
    </row>
    <row r="247" spans="1:19" s="1076" customFormat="1" x14ac:dyDescent="0.15">
      <c r="A247" s="1103">
        <v>16292800250000</v>
      </c>
      <c r="B247" s="974" t="s">
        <v>2129</v>
      </c>
      <c r="C247" s="974"/>
      <c r="D247" s="974"/>
      <c r="E247" s="974"/>
      <c r="F247" s="974"/>
      <c r="G247" s="974"/>
      <c r="H247" s="974"/>
      <c r="I247" s="1104">
        <v>0.64</v>
      </c>
      <c r="J247" s="886">
        <v>334500</v>
      </c>
      <c r="K247" s="886">
        <v>658500</v>
      </c>
      <c r="L247" s="886">
        <f t="shared" si="18"/>
        <v>993000</v>
      </c>
      <c r="M247" s="630">
        <v>1</v>
      </c>
      <c r="N247" s="886">
        <f t="shared" si="19"/>
        <v>993000</v>
      </c>
      <c r="O247" s="886" t="s">
        <v>1324</v>
      </c>
      <c r="P247" s="1088" t="s">
        <v>1863</v>
      </c>
      <c r="Q247" s="1090">
        <v>8</v>
      </c>
      <c r="R247" s="771"/>
      <c r="S247" s="984"/>
    </row>
    <row r="248" spans="1:19" s="1076" customFormat="1" x14ac:dyDescent="0.15">
      <c r="A248" s="1102" t="s">
        <v>1534</v>
      </c>
      <c r="B248" s="974" t="s">
        <v>1756</v>
      </c>
      <c r="C248" s="974"/>
      <c r="D248" s="974"/>
      <c r="E248" s="974"/>
      <c r="F248" s="974"/>
      <c r="G248" s="974"/>
      <c r="H248" s="974"/>
      <c r="I248" s="1104">
        <v>0.98</v>
      </c>
      <c r="J248" s="886">
        <v>614900</v>
      </c>
      <c r="K248" s="886">
        <v>687300</v>
      </c>
      <c r="L248" s="886">
        <f t="shared" si="18"/>
        <v>1302200</v>
      </c>
      <c r="M248" s="630">
        <v>1</v>
      </c>
      <c r="N248" s="886">
        <f t="shared" si="19"/>
        <v>1302200</v>
      </c>
      <c r="O248" s="886" t="s">
        <v>41</v>
      </c>
      <c r="P248" s="1088" t="str">
        <f>P243</f>
        <v>ACP</v>
      </c>
      <c r="Q248" s="1090">
        <v>8</v>
      </c>
      <c r="R248" s="771" t="s">
        <v>2039</v>
      </c>
      <c r="S248" s="984"/>
    </row>
    <row r="249" spans="1:19" s="1076" customFormat="1" x14ac:dyDescent="0.15">
      <c r="A249" s="1102" t="s">
        <v>2045</v>
      </c>
      <c r="B249" s="974"/>
      <c r="C249" s="975"/>
      <c r="D249" s="975"/>
      <c r="E249" s="975"/>
      <c r="F249" s="975"/>
      <c r="G249" s="975"/>
      <c r="H249" s="975"/>
      <c r="I249" s="971">
        <v>31.914000000000001</v>
      </c>
      <c r="J249" s="886"/>
      <c r="K249" s="886"/>
      <c r="L249" s="886"/>
      <c r="M249" s="630"/>
      <c r="N249" s="886"/>
      <c r="O249" s="886"/>
      <c r="P249" s="1088"/>
      <c r="Q249" s="1090"/>
      <c r="R249" s="771"/>
      <c r="S249" s="984"/>
    </row>
    <row r="250" spans="1:19" x14ac:dyDescent="0.15">
      <c r="A250" s="856" t="s">
        <v>13</v>
      </c>
      <c r="B250" s="589"/>
      <c r="C250" s="589"/>
      <c r="D250" s="589"/>
      <c r="E250" s="589"/>
      <c r="F250" s="589"/>
      <c r="G250" s="589"/>
      <c r="H250" s="589"/>
      <c r="I250" s="962">
        <f>SUM(I6:I249)</f>
        <v>119.77400000000009</v>
      </c>
      <c r="J250" s="1093">
        <f>SUM(J6:J248)</f>
        <v>55899350</v>
      </c>
      <c r="K250" s="857">
        <f>SUM(K6:K248)</f>
        <v>99986430</v>
      </c>
      <c r="L250" s="857">
        <f>SUM(L6:L248)</f>
        <v>155885780</v>
      </c>
      <c r="M250" s="857"/>
      <c r="N250" s="857">
        <f>SUM(N6:N248)</f>
        <v>130666124.49893796</v>
      </c>
      <c r="O250" s="857"/>
      <c r="P250" s="858"/>
      <c r="Q250" s="997"/>
    </row>
    <row r="251" spans="1:19" x14ac:dyDescent="0.15">
      <c r="S251" s="871"/>
    </row>
    <row r="252" spans="1:19" x14ac:dyDescent="0.15">
      <c r="B252" s="973"/>
      <c r="C252" s="973"/>
      <c r="D252" s="973"/>
      <c r="E252" s="973"/>
      <c r="F252" s="973"/>
      <c r="G252" s="973"/>
      <c r="H252" s="973"/>
      <c r="I252" s="973"/>
      <c r="J252" s="973"/>
      <c r="K252" s="973"/>
      <c r="L252" s="897"/>
      <c r="M252" s="600"/>
      <c r="N252" s="973"/>
      <c r="O252" s="973"/>
      <c r="P252" s="973"/>
      <c r="Q252" s="973"/>
    </row>
    <row r="253" spans="1:19" x14ac:dyDescent="0.15">
      <c r="L253" s="993"/>
      <c r="M253" s="994"/>
    </row>
    <row r="254" spans="1:19" x14ac:dyDescent="0.15">
      <c r="B254" s="1100" t="s">
        <v>26</v>
      </c>
      <c r="C254" s="973"/>
      <c r="D254" s="973"/>
      <c r="E254" s="973"/>
      <c r="F254" s="973"/>
      <c r="G254" s="973"/>
      <c r="H254" s="973"/>
      <c r="I254" s="1101">
        <f>I241+I232+I230+I229+I228+I222+I221+I177+I176+I172+I171+I124+I116+I115+I114+I113+I109+I97+I98+I96+I95+I89+I61+I59+I57+I56+I55+I51+I32+I29+I28+I13</f>
        <v>12.240000000000002</v>
      </c>
      <c r="J254" s="973"/>
      <c r="K254" s="973"/>
      <c r="L254" s="897">
        <f>COUNT(#REF!,#REF!,#REF!,#REF!,I28,I29,#REF!,I32,#REF!,#REF!,#REF!,I51,I55:I57,#REF!,#REF!,I59,#REF!,I61,#REF!,#REF!,#REF!,I89,#REF!,I95:I97,#REF!,#REF!,#REF!,#REF!,I109,#REF!,#REF!,#REF!,I113:I116,I124,I134:I169,I171,I172,I176,I177,I221,I222,I228,I229,I230,I232,I241,#REF!,#REF!,#REF!)</f>
        <v>66</v>
      </c>
      <c r="M254" s="995"/>
    </row>
    <row r="255" spans="1:19" x14ac:dyDescent="0.15">
      <c r="B255" s="1100" t="s">
        <v>41</v>
      </c>
      <c r="I255" s="1101">
        <f>I250-(I254+I256+I257+I258+I259)</f>
        <v>64.520000000000081</v>
      </c>
    </row>
    <row r="256" spans="1:19" s="1076" customFormat="1" x14ac:dyDescent="0.15">
      <c r="B256" s="1100" t="s">
        <v>1889</v>
      </c>
      <c r="I256" s="1101">
        <f>I234+I233+I196+I173+I123+I112+I100+I77+I67+I60+I58+I23+I17</f>
        <v>7.3199999999999994</v>
      </c>
      <c r="S256" s="1076">
        <f>AVERAGE(3.17,2.76)</f>
        <v>2.9649999999999999</v>
      </c>
    </row>
    <row r="257" spans="2:9" x14ac:dyDescent="0.15">
      <c r="B257" s="1100" t="s">
        <v>1360</v>
      </c>
      <c r="I257" s="1101">
        <f>I7+I10</f>
        <v>0.45</v>
      </c>
    </row>
    <row r="258" spans="2:9" x14ac:dyDescent="0.15">
      <c r="B258" s="1100" t="s">
        <v>1930</v>
      </c>
      <c r="I258" s="1101">
        <f>I240+I186+I185+I127+I99+I9+I8+I225+I226+I227</f>
        <v>3.33</v>
      </c>
    </row>
    <row r="259" spans="2:9" s="1076" customFormat="1" x14ac:dyDescent="0.15">
      <c r="B259" s="1101" t="str">
        <f>A249</f>
        <v>Roads, Easements, Right-of-Ways, etc.</v>
      </c>
      <c r="I259" s="1101">
        <f>I249</f>
        <v>31.914000000000001</v>
      </c>
    </row>
    <row r="260" spans="2:9" x14ac:dyDescent="0.15">
      <c r="B260" s="1100" t="s">
        <v>13</v>
      </c>
      <c r="C260" s="1100"/>
      <c r="D260" s="1100"/>
      <c r="E260" s="1100"/>
      <c r="F260" s="1100"/>
      <c r="G260" s="1100"/>
      <c r="H260" s="1100"/>
      <c r="I260" s="1101">
        <f>SUM(I254:I259)</f>
        <v>119.77400000000007</v>
      </c>
    </row>
  </sheetData>
  <autoFilter ref="A5:R250">
    <sortState ref="A6:R250">
      <sortCondition ref="Q5:Q250"/>
    </sortState>
  </autoFilter>
  <conditionalFormatting sqref="D6:D249">
    <cfRule type="duplicateValues" dxfId="1" priority="177"/>
  </conditionalFormatting>
  <conditionalFormatting sqref="A6:A249">
    <cfRule type="duplicateValues" dxfId="0" priority="179"/>
  </conditionalFormatting>
  <pageMargins left="0.7" right="0.7" top="0.75" bottom="0.75" header="0.3" footer="0.3"/>
  <pageSetup scale="5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499984740745262"/>
    <pageSetUpPr fitToPage="1"/>
  </sheetPr>
  <dimension ref="A1:AC66"/>
  <sheetViews>
    <sheetView tabSelected="1" view="pageBreakPreview" zoomScale="115" zoomScaleNormal="115" zoomScaleSheetLayoutView="115" zoomScalePageLayoutView="115" workbookViewId="0">
      <pane xSplit="3" ySplit="8" topLeftCell="H9" activePane="bottomRight" state="frozen"/>
      <selection activeCell="G39" sqref="G39"/>
      <selection pane="topRight" activeCell="G39" sqref="G39"/>
      <selection pane="bottomLeft" activeCell="G39" sqref="G39"/>
      <selection pane="bottomRight" activeCell="N69" sqref="N69"/>
    </sheetView>
  </sheetViews>
  <sheetFormatPr baseColWidth="10" defaultColWidth="8.83203125" defaultRowHeight="11" outlineLevelRow="1" outlineLevelCol="1" x14ac:dyDescent="0.15"/>
  <cols>
    <col min="1" max="1" width="3.33203125" style="975" customWidth="1"/>
    <col min="2" max="2" width="37.5" style="973" customWidth="1"/>
    <col min="3" max="3" width="10" style="973" bestFit="1" customWidth="1"/>
    <col min="4" max="4" width="8.83203125" style="973" hidden="1" customWidth="1" outlineLevel="1"/>
    <col min="5" max="5" width="10.1640625" style="973" customWidth="1" collapsed="1"/>
    <col min="6" max="24" width="10.1640625" style="973" customWidth="1"/>
    <col min="25" max="26" width="8.6640625" style="973" bestFit="1" customWidth="1"/>
    <col min="27" max="27" width="3.6640625" style="975" customWidth="1"/>
    <col min="28" max="28" width="10.6640625" style="973" bestFit="1" customWidth="1"/>
    <col min="29" max="16384" width="8.83203125" style="973"/>
  </cols>
  <sheetData>
    <row r="1" spans="2:29" ht="19" thickBot="1" x14ac:dyDescent="0.25">
      <c r="B1" s="1107" t="str">
        <f>'A.1 - Summary '!B1</f>
        <v>Millcreek Community Reinvestment Agency</v>
      </c>
      <c r="G1" s="703" t="s">
        <v>63</v>
      </c>
      <c r="H1" s="704"/>
      <c r="I1" s="705"/>
      <c r="J1" s="671"/>
      <c r="Z1" s="672"/>
    </row>
    <row r="2" spans="2:29" ht="13" x14ac:dyDescent="0.15">
      <c r="B2" s="293" t="str">
        <f>'A.1 - Summary '!B2</f>
        <v>Millcreek Center CRA</v>
      </c>
      <c r="G2" s="699" t="s">
        <v>14</v>
      </c>
      <c r="H2" s="700"/>
      <c r="I2" s="673">
        <v>0.04</v>
      </c>
      <c r="M2" s="671"/>
      <c r="N2" s="671"/>
      <c r="O2" s="671"/>
      <c r="P2" s="671"/>
      <c r="Q2" s="671"/>
      <c r="R2" s="671"/>
      <c r="S2" s="671"/>
      <c r="T2" s="671"/>
      <c r="U2" s="671"/>
      <c r="V2" s="671"/>
      <c r="W2" s="671"/>
      <c r="X2" s="671"/>
    </row>
    <row r="3" spans="2:29" ht="12" thickBot="1" x14ac:dyDescent="0.2">
      <c r="B3" s="973" t="str">
        <f>'A.1 - Summary '!B3</f>
        <v>Increment and Budget Analysis</v>
      </c>
      <c r="G3" s="701"/>
      <c r="H3" s="702"/>
      <c r="I3" s="674"/>
      <c r="J3" s="601"/>
      <c r="AB3" s="897"/>
    </row>
    <row r="4" spans="2:29" ht="20" x14ac:dyDescent="0.2">
      <c r="B4" s="582"/>
      <c r="F4" s="600"/>
      <c r="G4" s="600"/>
      <c r="H4" s="600"/>
      <c r="I4" s="600"/>
      <c r="K4" s="992"/>
      <c r="AB4" s="886"/>
      <c r="AC4" s="601"/>
    </row>
    <row r="5" spans="2:29" ht="13.5" customHeight="1" x14ac:dyDescent="0.15">
      <c r="B5" s="975"/>
      <c r="C5" s="975"/>
      <c r="D5" s="975"/>
      <c r="E5" s="975"/>
      <c r="F5" s="886"/>
      <c r="G5" s="886"/>
      <c r="H5" s="886"/>
      <c r="I5" s="886"/>
      <c r="J5" s="886"/>
      <c r="K5" s="595"/>
      <c r="L5" s="975"/>
      <c r="M5" s="975"/>
      <c r="N5" s="975"/>
      <c r="O5" s="975"/>
      <c r="P5" s="975"/>
      <c r="Q5" s="975"/>
      <c r="R5" s="975"/>
      <c r="S5" s="975"/>
      <c r="T5" s="975"/>
      <c r="U5" s="975"/>
      <c r="V5" s="975"/>
      <c r="W5" s="975"/>
      <c r="X5" s="975"/>
      <c r="Y5" s="975"/>
      <c r="Z5" s="975"/>
    </row>
    <row r="6" spans="2:29" ht="12.75" customHeight="1" x14ac:dyDescent="0.15">
      <c r="B6" s="1305" t="s">
        <v>1260</v>
      </c>
      <c r="C6" s="1002" t="s">
        <v>1206</v>
      </c>
      <c r="D6" s="1010">
        <f>D7+1</f>
        <v>2017</v>
      </c>
      <c r="E6" s="1010">
        <f t="shared" ref="E6:X6" si="0">E7+1</f>
        <v>2020</v>
      </c>
      <c r="F6" s="1010">
        <f t="shared" si="0"/>
        <v>2021</v>
      </c>
      <c r="G6" s="1010">
        <f t="shared" si="0"/>
        <v>2022</v>
      </c>
      <c r="H6" s="1010">
        <f t="shared" si="0"/>
        <v>2023</v>
      </c>
      <c r="I6" s="1010">
        <f t="shared" si="0"/>
        <v>2024</v>
      </c>
      <c r="J6" s="1010">
        <f t="shared" si="0"/>
        <v>2025</v>
      </c>
      <c r="K6" s="1010">
        <f t="shared" si="0"/>
        <v>2026</v>
      </c>
      <c r="L6" s="1010">
        <f t="shared" si="0"/>
        <v>2027</v>
      </c>
      <c r="M6" s="1010">
        <f t="shared" si="0"/>
        <v>2028</v>
      </c>
      <c r="N6" s="1010">
        <f t="shared" si="0"/>
        <v>2029</v>
      </c>
      <c r="O6" s="1010">
        <f t="shared" si="0"/>
        <v>2030</v>
      </c>
      <c r="P6" s="1010">
        <f t="shared" si="0"/>
        <v>2031</v>
      </c>
      <c r="Q6" s="1010">
        <f t="shared" si="0"/>
        <v>2032</v>
      </c>
      <c r="R6" s="1010">
        <f t="shared" si="0"/>
        <v>2033</v>
      </c>
      <c r="S6" s="1010">
        <f t="shared" si="0"/>
        <v>2034</v>
      </c>
      <c r="T6" s="1010">
        <f t="shared" si="0"/>
        <v>2035</v>
      </c>
      <c r="U6" s="1010">
        <f t="shared" si="0"/>
        <v>2036</v>
      </c>
      <c r="V6" s="1010">
        <f t="shared" si="0"/>
        <v>2037</v>
      </c>
      <c r="W6" s="1010">
        <f t="shared" si="0"/>
        <v>2038</v>
      </c>
      <c r="X6" s="1010">
        <f t="shared" si="0"/>
        <v>2039</v>
      </c>
      <c r="Y6" s="1048"/>
      <c r="Z6" s="1049"/>
      <c r="AB6" s="690"/>
    </row>
    <row r="7" spans="2:29" x14ac:dyDescent="0.15">
      <c r="B7" s="1306"/>
      <c r="C7" s="1011" t="s">
        <v>1205</v>
      </c>
      <c r="D7" s="1012">
        <v>2016</v>
      </c>
      <c r="E7" s="1012">
        <v>2019</v>
      </c>
      <c r="F7" s="1012">
        <f t="shared" ref="F7:R8" si="1">E7+1</f>
        <v>2020</v>
      </c>
      <c r="G7" s="1012">
        <f t="shared" si="1"/>
        <v>2021</v>
      </c>
      <c r="H7" s="1012">
        <f t="shared" si="1"/>
        <v>2022</v>
      </c>
      <c r="I7" s="1012">
        <f t="shared" si="1"/>
        <v>2023</v>
      </c>
      <c r="J7" s="1012">
        <f t="shared" si="1"/>
        <v>2024</v>
      </c>
      <c r="K7" s="1012">
        <f t="shared" si="1"/>
        <v>2025</v>
      </c>
      <c r="L7" s="1012">
        <f t="shared" si="1"/>
        <v>2026</v>
      </c>
      <c r="M7" s="1012">
        <f t="shared" si="1"/>
        <v>2027</v>
      </c>
      <c r="N7" s="1012">
        <f t="shared" si="1"/>
        <v>2028</v>
      </c>
      <c r="O7" s="1012">
        <f t="shared" si="1"/>
        <v>2029</v>
      </c>
      <c r="P7" s="1012">
        <f t="shared" si="1"/>
        <v>2030</v>
      </c>
      <c r="Q7" s="1012">
        <f t="shared" si="1"/>
        <v>2031</v>
      </c>
      <c r="R7" s="1012">
        <f t="shared" si="1"/>
        <v>2032</v>
      </c>
      <c r="S7" s="1012">
        <f t="shared" ref="S7:S8" si="2">R7+1</f>
        <v>2033</v>
      </c>
      <c r="T7" s="1012">
        <f t="shared" ref="T7:T8" si="3">S7+1</f>
        <v>2034</v>
      </c>
      <c r="U7" s="1012">
        <f t="shared" ref="U7:U8" si="4">T7+1</f>
        <v>2035</v>
      </c>
      <c r="V7" s="1012">
        <f t="shared" ref="V7:V8" si="5">U7+1</f>
        <v>2036</v>
      </c>
      <c r="W7" s="1012">
        <f t="shared" ref="W7:W8" si="6">V7+1</f>
        <v>2037</v>
      </c>
      <c r="X7" s="1012">
        <f t="shared" ref="X7:X8" si="7">W7+1</f>
        <v>2038</v>
      </c>
      <c r="Y7" s="607" t="s">
        <v>5</v>
      </c>
      <c r="Z7" s="1013" t="s">
        <v>15</v>
      </c>
    </row>
    <row r="8" spans="2:29" x14ac:dyDescent="0.15">
      <c r="B8" s="1050" t="s">
        <v>1218</v>
      </c>
      <c r="C8" s="1061" t="s">
        <v>17</v>
      </c>
      <c r="D8" s="589"/>
      <c r="E8" s="1062">
        <v>1</v>
      </c>
      <c r="F8" s="1062">
        <f t="shared" si="1"/>
        <v>2</v>
      </c>
      <c r="G8" s="1062">
        <f t="shared" si="1"/>
        <v>3</v>
      </c>
      <c r="H8" s="1062">
        <f t="shared" si="1"/>
        <v>4</v>
      </c>
      <c r="I8" s="1062">
        <f t="shared" si="1"/>
        <v>5</v>
      </c>
      <c r="J8" s="1062">
        <f t="shared" ref="J8" si="8">I8+1</f>
        <v>6</v>
      </c>
      <c r="K8" s="1062">
        <f t="shared" ref="K8" si="9">J8+1</f>
        <v>7</v>
      </c>
      <c r="L8" s="1062">
        <f t="shared" ref="L8" si="10">K8+1</f>
        <v>8</v>
      </c>
      <c r="M8" s="1062">
        <f t="shared" ref="M8" si="11">L8+1</f>
        <v>9</v>
      </c>
      <c r="N8" s="1062">
        <f t="shared" ref="N8" si="12">M8+1</f>
        <v>10</v>
      </c>
      <c r="O8" s="1062">
        <f t="shared" ref="O8" si="13">N8+1</f>
        <v>11</v>
      </c>
      <c r="P8" s="1062">
        <f t="shared" ref="P8" si="14">O8+1</f>
        <v>12</v>
      </c>
      <c r="Q8" s="1062">
        <f t="shared" ref="Q8" si="15">P8+1</f>
        <v>13</v>
      </c>
      <c r="R8" s="1062">
        <f t="shared" ref="R8" si="16">Q8+1</f>
        <v>14</v>
      </c>
      <c r="S8" s="1062">
        <f t="shared" si="2"/>
        <v>15</v>
      </c>
      <c r="T8" s="1062">
        <f t="shared" si="3"/>
        <v>16</v>
      </c>
      <c r="U8" s="1062">
        <f t="shared" si="4"/>
        <v>17</v>
      </c>
      <c r="V8" s="1062">
        <f t="shared" si="5"/>
        <v>18</v>
      </c>
      <c r="W8" s="1062">
        <f t="shared" si="6"/>
        <v>19</v>
      </c>
      <c r="X8" s="1062">
        <f t="shared" si="7"/>
        <v>20</v>
      </c>
      <c r="Y8" s="589"/>
      <c r="Z8" s="858"/>
    </row>
    <row r="9" spans="2:29" x14ac:dyDescent="0.15">
      <c r="B9" s="1063"/>
      <c r="C9" s="1059"/>
      <c r="D9" s="1019"/>
      <c r="E9" s="1060"/>
      <c r="F9" s="1060"/>
      <c r="G9" s="1060"/>
      <c r="H9" s="1060"/>
      <c r="I9" s="1060"/>
      <c r="J9" s="1060"/>
      <c r="K9" s="1060"/>
      <c r="L9" s="1060"/>
      <c r="M9" s="1060"/>
      <c r="N9" s="1060"/>
      <c r="O9" s="1060"/>
      <c r="P9" s="1060"/>
      <c r="Q9" s="1060"/>
      <c r="R9" s="1060"/>
      <c r="S9" s="1060"/>
      <c r="T9" s="1060"/>
      <c r="U9" s="1060"/>
      <c r="V9" s="1060"/>
      <c r="W9" s="1060"/>
      <c r="X9" s="1060"/>
      <c r="Y9" s="1019"/>
      <c r="Z9" s="1020"/>
    </row>
    <row r="10" spans="2:29" ht="13.5" customHeight="1" x14ac:dyDescent="0.15">
      <c r="B10" s="1051" t="s">
        <v>2062</v>
      </c>
      <c r="C10" s="1003"/>
      <c r="D10" s="977" t="e">
        <f>'B.1 - Dev Pro Forma'!#REF!</f>
        <v>#REF!</v>
      </c>
      <c r="E10" s="977">
        <f>'B.1 - Dev Pro Forma'!E108</f>
        <v>3455769.1797832903</v>
      </c>
      <c r="F10" s="1083">
        <f>'B.1 - Dev Pro Forma'!F108</f>
        <v>6688014.7641760651</v>
      </c>
      <c r="G10" s="1083">
        <f>'B.1 - Dev Pro Forma'!G108</f>
        <v>7696959.5956159579</v>
      </c>
      <c r="H10" s="1083">
        <f>'B.1 - Dev Pro Forma'!H108</f>
        <v>9007949.081342807</v>
      </c>
      <c r="I10" s="1083">
        <f>'B.1 - Dev Pro Forma'!I108</f>
        <v>10050186.841754792</v>
      </c>
      <c r="J10" s="1083">
        <f>'B.1 - Dev Pro Forma'!J108</f>
        <v>11121948.52031184</v>
      </c>
      <c r="K10" s="1083">
        <f>'B.1 - Dev Pro Forma'!K108</f>
        <v>12818424.686644908</v>
      </c>
      <c r="L10" s="1083">
        <f>'B.1 - Dev Pro Forma'!L108</f>
        <v>14496055.798842829</v>
      </c>
      <c r="M10" s="1083">
        <f>'B.1 - Dev Pro Forma'!M108</f>
        <v>16605658.05851366</v>
      </c>
      <c r="N10" s="1083">
        <f>'B.1 - Dev Pro Forma'!N108</f>
        <v>18725939.182194408</v>
      </c>
      <c r="O10" s="1083">
        <f>'B.1 - Dev Pro Forma'!O108</f>
        <v>21324675.920214761</v>
      </c>
      <c r="P10" s="1083">
        <f>'B.1 - Dev Pro Forma'!P108</f>
        <v>21249295.703674175</v>
      </c>
      <c r="Q10" s="1083">
        <f>'B.1 - Dev Pro Forma'!Q108</f>
        <v>21249295.703674175</v>
      </c>
      <c r="R10" s="1083">
        <f>'B.1 - Dev Pro Forma'!R108</f>
        <v>21249295.703674175</v>
      </c>
      <c r="S10" s="1083">
        <f>'B.1 - Dev Pro Forma'!S108</f>
        <v>21249295.703674175</v>
      </c>
      <c r="T10" s="1083">
        <f>'B.1 - Dev Pro Forma'!T108</f>
        <v>21249295.703674175</v>
      </c>
      <c r="U10" s="1083">
        <f>'B.1 - Dev Pro Forma'!U108</f>
        <v>21249295.703674175</v>
      </c>
      <c r="V10" s="1083">
        <f>'B.1 - Dev Pro Forma'!V108</f>
        <v>21249295.703674175</v>
      </c>
      <c r="W10" s="1083">
        <f>'B.1 - Dev Pro Forma'!W108</f>
        <v>21249295.703674175</v>
      </c>
      <c r="X10" s="1083">
        <f>'B.1 - Dev Pro Forma'!X108</f>
        <v>21249295.703674175</v>
      </c>
      <c r="Y10" s="1042"/>
      <c r="Z10" s="1043"/>
    </row>
    <row r="11" spans="2:29" ht="13.5" customHeight="1" x14ac:dyDescent="0.15">
      <c r="B11" s="1051" t="s">
        <v>1324</v>
      </c>
      <c r="C11" s="1003"/>
      <c r="D11" s="977" t="e">
        <f>'B.1 - Dev Pro Forma'!#REF!</f>
        <v>#REF!</v>
      </c>
      <c r="E11" s="977">
        <f>'B.1 - Dev Pro Forma'!E113</f>
        <v>201315.73346375045</v>
      </c>
      <c r="F11" s="1083">
        <f>'B.1 - Dev Pro Forma'!F113</f>
        <v>4013674.5865848274</v>
      </c>
      <c r="G11" s="1083">
        <f>'B.1 - Dev Pro Forma'!G113</f>
        <v>8482811.5577942152</v>
      </c>
      <c r="H11" s="1083">
        <f>'B.1 - Dev Pro Forma'!H113</f>
        <v>14956269.375627721</v>
      </c>
      <c r="I11" s="1083">
        <f>'B.1 - Dev Pro Forma'!I113</f>
        <v>21311454.200051274</v>
      </c>
      <c r="J11" s="1083">
        <f>'B.1 - Dev Pro Forma'!J113</f>
        <v>28635456.529431947</v>
      </c>
      <c r="K11" s="1083">
        <f>'B.1 - Dev Pro Forma'!K113</f>
        <v>35950651.29547359</v>
      </c>
      <c r="L11" s="1083">
        <f>'B.1 - Dev Pro Forma'!L113</f>
        <v>43228099.361490771</v>
      </c>
      <c r="M11" s="1083">
        <f>'B.1 - Dev Pro Forma'!M113</f>
        <v>50530711.89419093</v>
      </c>
      <c r="N11" s="1083">
        <f>'B.1 - Dev Pro Forma'!N113</f>
        <v>58764395.23182375</v>
      </c>
      <c r="O11" s="1083">
        <f>'B.1 - Dev Pro Forma'!O113</f>
        <v>69845394.58762297</v>
      </c>
      <c r="P11" s="1083">
        <f>'B.1 - Dev Pro Forma'!P113</f>
        <v>80610579.886550918</v>
      </c>
      <c r="Q11" s="1083">
        <f>'B.1 - Dev Pro Forma'!Q113</f>
        <v>91526751.985576704</v>
      </c>
      <c r="R11" s="1083">
        <f>'B.1 - Dev Pro Forma'!R113</f>
        <v>91526751.985576704</v>
      </c>
      <c r="S11" s="1083">
        <f>'B.1 - Dev Pro Forma'!S113</f>
        <v>91526751.985576704</v>
      </c>
      <c r="T11" s="1083">
        <f>'B.1 - Dev Pro Forma'!T113</f>
        <v>91526751.985576704</v>
      </c>
      <c r="U11" s="1083">
        <f>'B.1 - Dev Pro Forma'!U113</f>
        <v>91526751.985576704</v>
      </c>
      <c r="V11" s="1083">
        <f>'B.1 - Dev Pro Forma'!V113</f>
        <v>91526751.985576704</v>
      </c>
      <c r="W11" s="1083">
        <f>'B.1 - Dev Pro Forma'!W113</f>
        <v>91526751.985576704</v>
      </c>
      <c r="X11" s="1083">
        <f>'B.1 - Dev Pro Forma'!X113</f>
        <v>91526751.985576704</v>
      </c>
      <c r="Y11" s="1042"/>
      <c r="Z11" s="1043"/>
    </row>
    <row r="12" spans="2:29" ht="13.5" customHeight="1" x14ac:dyDescent="0.15">
      <c r="B12" s="1051" t="s">
        <v>26</v>
      </c>
      <c r="C12" s="1003"/>
      <c r="D12" s="977" t="e">
        <f>'B.1 - Dev Pro Forma'!#REF!</f>
        <v>#REF!</v>
      </c>
      <c r="E12" s="977">
        <f>'B.1 - Dev Pro Forma'!E118</f>
        <v>29799801.308582608</v>
      </c>
      <c r="F12" s="1083">
        <f>'B.1 - Dev Pro Forma'!F118</f>
        <v>57432943.225725845</v>
      </c>
      <c r="G12" s="1083">
        <f>'B.1 - Dev Pro Forma'!G118</f>
        <v>59047775.86366187</v>
      </c>
      <c r="H12" s="1083">
        <f>'B.1 - Dev Pro Forma'!H118</f>
        <v>63310624.693286948</v>
      </c>
      <c r="I12" s="1083">
        <f>'B.1 - Dev Pro Forma'!I118</f>
        <v>66762186.795911871</v>
      </c>
      <c r="J12" s="1083">
        <f>'B.1 - Dev Pro Forma'!J118</f>
        <v>70268737.219661862</v>
      </c>
      <c r="K12" s="1083">
        <f>'B.1 - Dev Pro Forma'!K118</f>
        <v>69993795.614036471</v>
      </c>
      <c r="L12" s="1083">
        <f>'B.1 - Dev Pro Forma'!L118</f>
        <v>69993795.614036471</v>
      </c>
      <c r="M12" s="1083">
        <f>'B.1 - Dev Pro Forma'!M118</f>
        <v>69993795.614036471</v>
      </c>
      <c r="N12" s="1083">
        <f>'B.1 - Dev Pro Forma'!N118</f>
        <v>69993795.614036471</v>
      </c>
      <c r="O12" s="1083">
        <f>'B.1 - Dev Pro Forma'!O118</f>
        <v>69993795.614036471</v>
      </c>
      <c r="P12" s="1083">
        <f>'B.1 - Dev Pro Forma'!P118</f>
        <v>69993795.614036471</v>
      </c>
      <c r="Q12" s="1083">
        <f>'B.1 - Dev Pro Forma'!Q118</f>
        <v>69993795.614036471</v>
      </c>
      <c r="R12" s="1083">
        <f>'B.1 - Dev Pro Forma'!R118</f>
        <v>69993795.614036471</v>
      </c>
      <c r="S12" s="1083">
        <f>'B.1 - Dev Pro Forma'!S118</f>
        <v>69993795.614036471</v>
      </c>
      <c r="T12" s="1083">
        <f>'B.1 - Dev Pro Forma'!T118</f>
        <v>69993795.614036471</v>
      </c>
      <c r="U12" s="1083">
        <f>'B.1 - Dev Pro Forma'!U118</f>
        <v>69993795.614036471</v>
      </c>
      <c r="V12" s="1083">
        <f>'B.1 - Dev Pro Forma'!V118</f>
        <v>69993795.614036471</v>
      </c>
      <c r="W12" s="1083">
        <f>'B.1 - Dev Pro Forma'!W118</f>
        <v>69993795.614036471</v>
      </c>
      <c r="X12" s="1083">
        <f>'B.1 - Dev Pro Forma'!X118</f>
        <v>69993795.614036471</v>
      </c>
      <c r="Y12" s="1042"/>
      <c r="Z12" s="1043"/>
    </row>
    <row r="13" spans="2:29" ht="13.5" customHeight="1" x14ac:dyDescent="0.15">
      <c r="B13" s="1052" t="s">
        <v>1441</v>
      </c>
      <c r="C13" s="1003"/>
      <c r="D13" s="998" t="e">
        <f>SUM(D10:D12)</f>
        <v>#REF!</v>
      </c>
      <c r="E13" s="998">
        <f>SUM(E10:E12)</f>
        <v>33456886.221829649</v>
      </c>
      <c r="F13" s="998">
        <f t="shared" ref="F13:R13" si="17">SUM(F10:F12)</f>
        <v>68134632.576486737</v>
      </c>
      <c r="G13" s="998">
        <f t="shared" si="17"/>
        <v>75227547.017072052</v>
      </c>
      <c r="H13" s="998">
        <f t="shared" si="17"/>
        <v>87274843.150257468</v>
      </c>
      <c r="I13" s="998">
        <f t="shared" si="17"/>
        <v>98123827.837717935</v>
      </c>
      <c r="J13" s="998">
        <f t="shared" si="17"/>
        <v>110026142.26940565</v>
      </c>
      <c r="K13" s="998">
        <f t="shared" si="17"/>
        <v>118762871.59615497</v>
      </c>
      <c r="L13" s="998">
        <f t="shared" si="17"/>
        <v>127717950.77437007</v>
      </c>
      <c r="M13" s="998">
        <f t="shared" si="17"/>
        <v>137130165.56674105</v>
      </c>
      <c r="N13" s="998">
        <f t="shared" si="17"/>
        <v>147484130.02805462</v>
      </c>
      <c r="O13" s="998">
        <f t="shared" si="17"/>
        <v>161163866.12187421</v>
      </c>
      <c r="P13" s="998">
        <f t="shared" si="17"/>
        <v>171853671.20426157</v>
      </c>
      <c r="Q13" s="998">
        <f t="shared" si="17"/>
        <v>182769843.30328736</v>
      </c>
      <c r="R13" s="998">
        <f t="shared" si="17"/>
        <v>182769843.30328736</v>
      </c>
      <c r="S13" s="998">
        <f t="shared" ref="S13:X13" si="18">SUM(S10:S12)</f>
        <v>182769843.30328736</v>
      </c>
      <c r="T13" s="998">
        <f t="shared" si="18"/>
        <v>182769843.30328736</v>
      </c>
      <c r="U13" s="998">
        <f t="shared" si="18"/>
        <v>182769843.30328736</v>
      </c>
      <c r="V13" s="998">
        <f t="shared" si="18"/>
        <v>182769843.30328736</v>
      </c>
      <c r="W13" s="998">
        <f t="shared" si="18"/>
        <v>182769843.30328736</v>
      </c>
      <c r="X13" s="998">
        <f t="shared" si="18"/>
        <v>182769843.30328736</v>
      </c>
      <c r="Y13" s="1042"/>
      <c r="Z13" s="1043"/>
    </row>
    <row r="14" spans="2:29" ht="13.5" customHeight="1" x14ac:dyDescent="0.15">
      <c r="B14" s="1052" t="s">
        <v>1442</v>
      </c>
      <c r="C14" s="1003"/>
      <c r="D14" s="977">
        <f>'Parcel Info'!N250</f>
        <v>130666124.49893796</v>
      </c>
      <c r="E14" s="977">
        <f>'Parcel Info'!N250</f>
        <v>130666124.49893796</v>
      </c>
      <c r="F14" s="977">
        <f t="shared" ref="F14:R15" si="19">E14</f>
        <v>130666124.49893796</v>
      </c>
      <c r="G14" s="977">
        <f t="shared" si="19"/>
        <v>130666124.49893796</v>
      </c>
      <c r="H14" s="977">
        <f t="shared" si="19"/>
        <v>130666124.49893796</v>
      </c>
      <c r="I14" s="977">
        <f t="shared" si="19"/>
        <v>130666124.49893796</v>
      </c>
      <c r="J14" s="977">
        <f t="shared" si="19"/>
        <v>130666124.49893796</v>
      </c>
      <c r="K14" s="977">
        <f t="shared" si="19"/>
        <v>130666124.49893796</v>
      </c>
      <c r="L14" s="977">
        <f t="shared" si="19"/>
        <v>130666124.49893796</v>
      </c>
      <c r="M14" s="977">
        <f t="shared" si="19"/>
        <v>130666124.49893796</v>
      </c>
      <c r="N14" s="977">
        <f t="shared" si="19"/>
        <v>130666124.49893796</v>
      </c>
      <c r="O14" s="977">
        <f t="shared" si="19"/>
        <v>130666124.49893796</v>
      </c>
      <c r="P14" s="977">
        <f t="shared" si="19"/>
        <v>130666124.49893796</v>
      </c>
      <c r="Q14" s="977">
        <f t="shared" si="19"/>
        <v>130666124.49893796</v>
      </c>
      <c r="R14" s="977">
        <f t="shared" si="19"/>
        <v>130666124.49893796</v>
      </c>
      <c r="S14" s="1083">
        <f t="shared" ref="S14:S15" si="20">R14</f>
        <v>130666124.49893796</v>
      </c>
      <c r="T14" s="1083">
        <f t="shared" ref="T14:T15" si="21">S14</f>
        <v>130666124.49893796</v>
      </c>
      <c r="U14" s="1083">
        <f t="shared" ref="U14:U15" si="22">T14</f>
        <v>130666124.49893796</v>
      </c>
      <c r="V14" s="1083">
        <f t="shared" ref="V14:V15" si="23">U14</f>
        <v>130666124.49893796</v>
      </c>
      <c r="W14" s="1083">
        <f t="shared" ref="W14:W15" si="24">V14</f>
        <v>130666124.49893796</v>
      </c>
      <c r="X14" s="1083">
        <f t="shared" ref="X14:X15" si="25">W14</f>
        <v>130666124.49893796</v>
      </c>
      <c r="Y14" s="1042"/>
      <c r="Z14" s="1043"/>
    </row>
    <row r="15" spans="2:29" ht="13.5" customHeight="1" outlineLevel="1" x14ac:dyDescent="0.15">
      <c r="B15" s="836" t="s">
        <v>1443</v>
      </c>
      <c r="C15" s="1004"/>
      <c r="D15" s="982">
        <f>-'Parcel Info'!N250</f>
        <v>-130666124.49893796</v>
      </c>
      <c r="E15" s="999">
        <f>-'Parcel Info'!N250</f>
        <v>-130666124.49893796</v>
      </c>
      <c r="F15" s="999">
        <f>E15</f>
        <v>-130666124.49893796</v>
      </c>
      <c r="G15" s="999">
        <f t="shared" si="19"/>
        <v>-130666124.49893796</v>
      </c>
      <c r="H15" s="999">
        <f t="shared" si="19"/>
        <v>-130666124.49893796</v>
      </c>
      <c r="I15" s="999">
        <f t="shared" si="19"/>
        <v>-130666124.49893796</v>
      </c>
      <c r="J15" s="999">
        <f t="shared" si="19"/>
        <v>-130666124.49893796</v>
      </c>
      <c r="K15" s="999">
        <f t="shared" si="19"/>
        <v>-130666124.49893796</v>
      </c>
      <c r="L15" s="999">
        <f t="shared" si="19"/>
        <v>-130666124.49893796</v>
      </c>
      <c r="M15" s="999">
        <f t="shared" si="19"/>
        <v>-130666124.49893796</v>
      </c>
      <c r="N15" s="999">
        <f t="shared" si="19"/>
        <v>-130666124.49893796</v>
      </c>
      <c r="O15" s="999">
        <f t="shared" si="19"/>
        <v>-130666124.49893796</v>
      </c>
      <c r="P15" s="999">
        <f t="shared" si="19"/>
        <v>-130666124.49893796</v>
      </c>
      <c r="Q15" s="999">
        <f t="shared" si="19"/>
        <v>-130666124.49893796</v>
      </c>
      <c r="R15" s="999">
        <f t="shared" si="19"/>
        <v>-130666124.49893796</v>
      </c>
      <c r="S15" s="999">
        <f t="shared" si="20"/>
        <v>-130666124.49893796</v>
      </c>
      <c r="T15" s="999">
        <f t="shared" si="21"/>
        <v>-130666124.49893796</v>
      </c>
      <c r="U15" s="999">
        <f t="shared" si="22"/>
        <v>-130666124.49893796</v>
      </c>
      <c r="V15" s="999">
        <f t="shared" si="23"/>
        <v>-130666124.49893796</v>
      </c>
      <c r="W15" s="999">
        <f t="shared" si="24"/>
        <v>-130666124.49893796</v>
      </c>
      <c r="X15" s="999">
        <f t="shared" si="25"/>
        <v>-130666124.49893796</v>
      </c>
      <c r="Y15" s="1044"/>
      <c r="Z15" s="1045"/>
    </row>
    <row r="16" spans="2:29" ht="12.75" customHeight="1" x14ac:dyDescent="0.15">
      <c r="B16" s="1014" t="s">
        <v>1</v>
      </c>
      <c r="C16" s="1015"/>
      <c r="D16" s="1016" t="e">
        <f>SUM(D10:D12)</f>
        <v>#REF!</v>
      </c>
      <c r="E16" s="1016">
        <f t="shared" ref="E16:R16" si="26">SUM(E13:E15)</f>
        <v>33456886.221829653</v>
      </c>
      <c r="F16" s="1016">
        <f t="shared" si="26"/>
        <v>68134632.576486737</v>
      </c>
      <c r="G16" s="1016">
        <f t="shared" si="26"/>
        <v>75227547.017072052</v>
      </c>
      <c r="H16" s="1016">
        <f t="shared" si="26"/>
        <v>87274843.150257468</v>
      </c>
      <c r="I16" s="1016">
        <f t="shared" si="26"/>
        <v>98123827.83771795</v>
      </c>
      <c r="J16" s="1016">
        <f t="shared" si="26"/>
        <v>110026142.26940566</v>
      </c>
      <c r="K16" s="1016">
        <f t="shared" si="26"/>
        <v>118762871.59615499</v>
      </c>
      <c r="L16" s="1016">
        <f t="shared" si="26"/>
        <v>127717950.77437007</v>
      </c>
      <c r="M16" s="1016">
        <f t="shared" si="26"/>
        <v>137130165.56674105</v>
      </c>
      <c r="N16" s="1016">
        <f t="shared" si="26"/>
        <v>147484130.02805459</v>
      </c>
      <c r="O16" s="1016">
        <f t="shared" si="26"/>
        <v>161163866.12187421</v>
      </c>
      <c r="P16" s="1016">
        <f t="shared" si="26"/>
        <v>171853671.20426154</v>
      </c>
      <c r="Q16" s="1016">
        <f t="shared" si="26"/>
        <v>182769843.30328739</v>
      </c>
      <c r="R16" s="1016">
        <f t="shared" si="26"/>
        <v>182769843.30328739</v>
      </c>
      <c r="S16" s="1016">
        <f t="shared" ref="S16:X16" si="27">SUM(S13:S15)</f>
        <v>182769843.30328739</v>
      </c>
      <c r="T16" s="1016">
        <f t="shared" si="27"/>
        <v>182769843.30328739</v>
      </c>
      <c r="U16" s="1016">
        <f t="shared" si="27"/>
        <v>182769843.30328739</v>
      </c>
      <c r="V16" s="1016">
        <f t="shared" si="27"/>
        <v>182769843.30328739</v>
      </c>
      <c r="W16" s="1016">
        <f t="shared" si="27"/>
        <v>182769843.30328739</v>
      </c>
      <c r="X16" s="1016">
        <f t="shared" si="27"/>
        <v>182769843.30328739</v>
      </c>
      <c r="Y16" s="1046"/>
      <c r="Z16" s="1047"/>
      <c r="AB16" s="600"/>
    </row>
    <row r="17" spans="1:29" x14ac:dyDescent="0.15">
      <c r="B17" s="1017" t="s">
        <v>2</v>
      </c>
      <c r="C17" s="1018" t="s">
        <v>2053</v>
      </c>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019"/>
      <c r="Z17" s="1020"/>
    </row>
    <row r="18" spans="1:29" x14ac:dyDescent="0.15">
      <c r="B18" s="1053" t="s">
        <v>42</v>
      </c>
      <c r="C18" s="1005">
        <v>2.0249999999999999E-3</v>
      </c>
      <c r="D18" s="595" t="e">
        <f t="shared" ref="D18:X25" si="28">+$C18*D$16</f>
        <v>#REF!</v>
      </c>
      <c r="E18" s="595">
        <f t="shared" si="28"/>
        <v>67750.194599205046</v>
      </c>
      <c r="F18" s="595">
        <f t="shared" si="28"/>
        <v>137972.63096738563</v>
      </c>
      <c r="G18" s="595">
        <f t="shared" si="28"/>
        <v>152335.78270957089</v>
      </c>
      <c r="H18" s="595">
        <f t="shared" si="28"/>
        <v>176731.55737927137</v>
      </c>
      <c r="I18" s="595">
        <f t="shared" si="28"/>
        <v>198700.75137137884</v>
      </c>
      <c r="J18" s="595">
        <f t="shared" si="28"/>
        <v>222802.93809554644</v>
      </c>
      <c r="K18" s="595">
        <f t="shared" si="28"/>
        <v>240494.81498221384</v>
      </c>
      <c r="L18" s="595">
        <f t="shared" si="28"/>
        <v>258628.85031809937</v>
      </c>
      <c r="M18" s="595">
        <f t="shared" si="28"/>
        <v>277688.58527265058</v>
      </c>
      <c r="N18" s="595">
        <f t="shared" si="28"/>
        <v>298655.36330681056</v>
      </c>
      <c r="O18" s="595">
        <f t="shared" si="28"/>
        <v>326356.82889679528</v>
      </c>
      <c r="P18" s="595">
        <f t="shared" si="28"/>
        <v>348003.68418862962</v>
      </c>
      <c r="Q18" s="595">
        <f t="shared" si="28"/>
        <v>370108.93268915697</v>
      </c>
      <c r="R18" s="595">
        <f t="shared" si="28"/>
        <v>370108.93268915697</v>
      </c>
      <c r="S18" s="595">
        <f t="shared" si="28"/>
        <v>370108.93268915697</v>
      </c>
      <c r="T18" s="595">
        <f t="shared" si="28"/>
        <v>370108.93268915697</v>
      </c>
      <c r="U18" s="595">
        <f t="shared" si="28"/>
        <v>370108.93268915697</v>
      </c>
      <c r="V18" s="595">
        <f t="shared" si="28"/>
        <v>370108.93268915697</v>
      </c>
      <c r="W18" s="595">
        <f t="shared" si="28"/>
        <v>370108.93268915697</v>
      </c>
      <c r="X18" s="595">
        <f t="shared" si="28"/>
        <v>370108.93268915697</v>
      </c>
      <c r="Y18" s="1073">
        <f t="shared" ref="Y18:Y27" si="29">SUM(E18:X18)</f>
        <v>5666993.4436008139</v>
      </c>
      <c r="Z18" s="869">
        <f t="shared" ref="Z18:Z27" si="30">NPV($I$2,E18:X18)</f>
        <v>3572960.4686764195</v>
      </c>
      <c r="AB18" s="600"/>
      <c r="AC18" s="600"/>
    </row>
    <row r="19" spans="1:29" x14ac:dyDescent="0.15">
      <c r="B19" s="1053" t="s">
        <v>2046</v>
      </c>
      <c r="C19" s="1005">
        <v>5.5900000000000004E-4</v>
      </c>
      <c r="D19" s="595"/>
      <c r="E19" s="595">
        <f t="shared" si="28"/>
        <v>18702.399398002777</v>
      </c>
      <c r="F19" s="595">
        <f t="shared" si="28"/>
        <v>38087.259610256086</v>
      </c>
      <c r="G19" s="595">
        <f t="shared" si="28"/>
        <v>42052.198782543281</v>
      </c>
      <c r="H19" s="595">
        <f t="shared" si="28"/>
        <v>48786.637320993927</v>
      </c>
      <c r="I19" s="595">
        <f t="shared" si="28"/>
        <v>54851.219761284337</v>
      </c>
      <c r="J19" s="595">
        <f t="shared" si="28"/>
        <v>61504.613528597773</v>
      </c>
      <c r="K19" s="595">
        <f t="shared" si="28"/>
        <v>66388.445222250637</v>
      </c>
      <c r="L19" s="595">
        <f t="shared" si="28"/>
        <v>71394.334482872873</v>
      </c>
      <c r="M19" s="595">
        <f t="shared" si="28"/>
        <v>76655.76255180825</v>
      </c>
      <c r="N19" s="595">
        <f t="shared" si="28"/>
        <v>82443.628685682517</v>
      </c>
      <c r="O19" s="595">
        <f t="shared" si="28"/>
        <v>90090.601162127685</v>
      </c>
      <c r="P19" s="595">
        <f t="shared" si="28"/>
        <v>96066.202203182213</v>
      </c>
      <c r="Q19" s="595">
        <f t="shared" si="28"/>
        <v>102168.34240653766</v>
      </c>
      <c r="R19" s="595">
        <f t="shared" si="28"/>
        <v>102168.34240653766</v>
      </c>
      <c r="S19" s="595">
        <f t="shared" si="28"/>
        <v>102168.34240653766</v>
      </c>
      <c r="T19" s="595">
        <f t="shared" si="28"/>
        <v>102168.34240653766</v>
      </c>
      <c r="U19" s="595">
        <f t="shared" si="28"/>
        <v>102168.34240653766</v>
      </c>
      <c r="V19" s="595">
        <f t="shared" si="28"/>
        <v>102168.34240653766</v>
      </c>
      <c r="W19" s="595">
        <f t="shared" si="28"/>
        <v>102168.34240653766</v>
      </c>
      <c r="X19" s="595">
        <f t="shared" si="28"/>
        <v>102168.34240653766</v>
      </c>
      <c r="Y19" s="1073">
        <f t="shared" si="29"/>
        <v>1564370.0419619032</v>
      </c>
      <c r="Z19" s="869">
        <f t="shared" si="30"/>
        <v>986313.53184697207</v>
      </c>
      <c r="AB19" s="600"/>
      <c r="AC19" s="600"/>
    </row>
    <row r="20" spans="1:29" x14ac:dyDescent="0.15">
      <c r="A20" s="28"/>
      <c r="B20" s="1053" t="s">
        <v>2047</v>
      </c>
      <c r="C20" s="1005">
        <v>7.8220000000000008E-3</v>
      </c>
      <c r="D20" s="595" t="e">
        <f t="shared" ref="D20:X20" si="31">+$C20*D$16</f>
        <v>#REF!</v>
      </c>
      <c r="E20" s="595">
        <f t="shared" si="31"/>
        <v>261699.76402715157</v>
      </c>
      <c r="F20" s="595">
        <f t="shared" si="31"/>
        <v>532949.09601327928</v>
      </c>
      <c r="G20" s="595">
        <f t="shared" si="31"/>
        <v>588429.8727675376</v>
      </c>
      <c r="H20" s="595">
        <f t="shared" si="31"/>
        <v>682663.82312131394</v>
      </c>
      <c r="I20" s="595">
        <f t="shared" si="31"/>
        <v>767524.58134662989</v>
      </c>
      <c r="J20" s="595">
        <f t="shared" si="31"/>
        <v>860624.48483129113</v>
      </c>
      <c r="K20" s="595">
        <f t="shared" si="31"/>
        <v>928963.18162512442</v>
      </c>
      <c r="L20" s="595">
        <f t="shared" si="31"/>
        <v>999009.81095712283</v>
      </c>
      <c r="M20" s="595">
        <f t="shared" si="31"/>
        <v>1072632.1550630487</v>
      </c>
      <c r="N20" s="595">
        <f t="shared" si="31"/>
        <v>1153620.8650794432</v>
      </c>
      <c r="O20" s="595">
        <f t="shared" si="31"/>
        <v>1260623.7608053002</v>
      </c>
      <c r="P20" s="595">
        <f t="shared" si="31"/>
        <v>1344239.4161597339</v>
      </c>
      <c r="Q20" s="595">
        <f t="shared" si="31"/>
        <v>1429625.7143183141</v>
      </c>
      <c r="R20" s="595">
        <f t="shared" si="31"/>
        <v>1429625.7143183141</v>
      </c>
      <c r="S20" s="595">
        <f t="shared" si="31"/>
        <v>1429625.7143183141</v>
      </c>
      <c r="T20" s="595">
        <f t="shared" si="31"/>
        <v>1429625.7143183141</v>
      </c>
      <c r="U20" s="595">
        <f t="shared" si="31"/>
        <v>1429625.7143183141</v>
      </c>
      <c r="V20" s="595">
        <f t="shared" si="31"/>
        <v>1429625.7143183141</v>
      </c>
      <c r="W20" s="595">
        <f t="shared" si="31"/>
        <v>1429625.7143183141</v>
      </c>
      <c r="X20" s="595">
        <f t="shared" si="31"/>
        <v>1429625.7143183141</v>
      </c>
      <c r="Y20" s="1073">
        <f t="shared" si="29"/>
        <v>21889986.526343487</v>
      </c>
      <c r="Z20" s="869">
        <f t="shared" si="30"/>
        <v>13801331.746166397</v>
      </c>
      <c r="AB20" s="600"/>
    </row>
    <row r="21" spans="1:29" x14ac:dyDescent="0.15">
      <c r="B21" s="1053" t="s">
        <v>2048</v>
      </c>
      <c r="C21" s="1005">
        <v>2.0119999999999999E-3</v>
      </c>
      <c r="D21" s="595" t="e">
        <f t="shared" si="28"/>
        <v>#REF!</v>
      </c>
      <c r="E21" s="595">
        <f t="shared" si="28"/>
        <v>67315.255078321265</v>
      </c>
      <c r="F21" s="595">
        <f t="shared" si="28"/>
        <v>137086.88074389132</v>
      </c>
      <c r="G21" s="595">
        <f t="shared" si="28"/>
        <v>151357.82459834896</v>
      </c>
      <c r="H21" s="595">
        <f t="shared" si="28"/>
        <v>175596.98441831802</v>
      </c>
      <c r="I21" s="595">
        <f t="shared" si="28"/>
        <v>197425.14160948852</v>
      </c>
      <c r="J21" s="595">
        <f t="shared" si="28"/>
        <v>221372.59824604419</v>
      </c>
      <c r="K21" s="595">
        <f t="shared" si="28"/>
        <v>238950.89765146383</v>
      </c>
      <c r="L21" s="595">
        <f t="shared" si="28"/>
        <v>256968.51695803259</v>
      </c>
      <c r="M21" s="595">
        <f t="shared" si="28"/>
        <v>275905.89312028297</v>
      </c>
      <c r="N21" s="595">
        <f t="shared" si="28"/>
        <v>296738.06961644581</v>
      </c>
      <c r="O21" s="595">
        <f t="shared" si="28"/>
        <v>324261.69863721088</v>
      </c>
      <c r="P21" s="595">
        <f t="shared" si="28"/>
        <v>345769.5864629742</v>
      </c>
      <c r="Q21" s="595">
        <f t="shared" si="28"/>
        <v>367732.9247262142</v>
      </c>
      <c r="R21" s="595">
        <f t="shared" si="28"/>
        <v>367732.9247262142</v>
      </c>
      <c r="S21" s="595">
        <f t="shared" si="28"/>
        <v>367732.9247262142</v>
      </c>
      <c r="T21" s="595">
        <f t="shared" si="28"/>
        <v>367732.9247262142</v>
      </c>
      <c r="U21" s="595">
        <f t="shared" si="28"/>
        <v>367732.9247262142</v>
      </c>
      <c r="V21" s="595">
        <f t="shared" si="28"/>
        <v>367732.9247262142</v>
      </c>
      <c r="W21" s="595">
        <f t="shared" si="28"/>
        <v>367732.9247262142</v>
      </c>
      <c r="X21" s="595">
        <f t="shared" si="28"/>
        <v>367732.9247262142</v>
      </c>
      <c r="Y21" s="1073">
        <f t="shared" si="29"/>
        <v>5630612.7449505366</v>
      </c>
      <c r="Z21" s="869">
        <f t="shared" si="30"/>
        <v>3550022.9446799778</v>
      </c>
      <c r="AB21" s="600"/>
    </row>
    <row r="22" spans="1:29" x14ac:dyDescent="0.15">
      <c r="B22" s="1053" t="s">
        <v>2049</v>
      </c>
      <c r="C22" s="1005">
        <v>1.5E-5</v>
      </c>
      <c r="D22" s="595" t="e">
        <f t="shared" si="28"/>
        <v>#REF!</v>
      </c>
      <c r="E22" s="593">
        <f>+$C22*E$16</f>
        <v>501.85329332744482</v>
      </c>
      <c r="F22" s="595">
        <f t="shared" si="28"/>
        <v>1022.019488647301</v>
      </c>
      <c r="G22" s="595">
        <f t="shared" si="28"/>
        <v>1128.4132052560808</v>
      </c>
      <c r="H22" s="595">
        <f t="shared" si="28"/>
        <v>1309.1226472538622</v>
      </c>
      <c r="I22" s="595">
        <f t="shared" si="28"/>
        <v>1471.8574175657693</v>
      </c>
      <c r="J22" s="595">
        <f t="shared" si="28"/>
        <v>1650.392134041085</v>
      </c>
      <c r="K22" s="595">
        <f t="shared" si="28"/>
        <v>1781.4430739423249</v>
      </c>
      <c r="L22" s="595">
        <f t="shared" si="28"/>
        <v>1915.7692616155512</v>
      </c>
      <c r="M22" s="595">
        <f t="shared" si="28"/>
        <v>2056.9524835011157</v>
      </c>
      <c r="N22" s="595">
        <f t="shared" si="28"/>
        <v>2212.2619504208192</v>
      </c>
      <c r="O22" s="595">
        <f t="shared" si="28"/>
        <v>2417.4579918281133</v>
      </c>
      <c r="P22" s="595">
        <f t="shared" si="28"/>
        <v>2577.805068063923</v>
      </c>
      <c r="Q22" s="595">
        <f t="shared" si="28"/>
        <v>2741.5476495493108</v>
      </c>
      <c r="R22" s="595">
        <f t="shared" si="28"/>
        <v>2741.5476495493108</v>
      </c>
      <c r="S22" s="595">
        <f t="shared" si="28"/>
        <v>2741.5476495493108</v>
      </c>
      <c r="T22" s="595">
        <f t="shared" si="28"/>
        <v>2741.5476495493108</v>
      </c>
      <c r="U22" s="595">
        <f t="shared" si="28"/>
        <v>2741.5476495493108</v>
      </c>
      <c r="V22" s="595">
        <f t="shared" si="28"/>
        <v>2741.5476495493108</v>
      </c>
      <c r="W22" s="595">
        <f t="shared" si="28"/>
        <v>2741.5476495493108</v>
      </c>
      <c r="X22" s="595">
        <f t="shared" si="28"/>
        <v>2741.5476495493108</v>
      </c>
      <c r="Y22" s="1073">
        <f t="shared" si="29"/>
        <v>41977.729211857884</v>
      </c>
      <c r="Z22" s="869">
        <f t="shared" si="30"/>
        <v>26466.373842047549</v>
      </c>
      <c r="AB22" s="600"/>
    </row>
    <row r="23" spans="1:29" x14ac:dyDescent="0.15">
      <c r="A23" s="28"/>
      <c r="B23" s="1053" t="s">
        <v>2050</v>
      </c>
      <c r="C23" s="1005">
        <v>2.7900000000000001E-4</v>
      </c>
      <c r="D23" s="595" t="e">
        <f t="shared" si="28"/>
        <v>#REF!</v>
      </c>
      <c r="E23" s="595">
        <f t="shared" si="28"/>
        <v>9334.4712558904739</v>
      </c>
      <c r="F23" s="595">
        <f t="shared" si="28"/>
        <v>19009.562488839802</v>
      </c>
      <c r="G23" s="595">
        <f t="shared" si="28"/>
        <v>20988.485617763105</v>
      </c>
      <c r="H23" s="595">
        <f t="shared" si="28"/>
        <v>24349.681238921836</v>
      </c>
      <c r="I23" s="595">
        <f t="shared" si="28"/>
        <v>27376.547966723308</v>
      </c>
      <c r="J23" s="595">
        <f t="shared" si="28"/>
        <v>30697.293693164182</v>
      </c>
      <c r="K23" s="595">
        <f t="shared" si="28"/>
        <v>33134.841175327245</v>
      </c>
      <c r="L23" s="595">
        <f t="shared" si="28"/>
        <v>35633.308266049251</v>
      </c>
      <c r="M23" s="595">
        <f t="shared" si="28"/>
        <v>38259.316193120751</v>
      </c>
      <c r="N23" s="595">
        <f t="shared" si="28"/>
        <v>41148.072277827232</v>
      </c>
      <c r="O23" s="595">
        <f t="shared" si="28"/>
        <v>44964.718648002905</v>
      </c>
      <c r="P23" s="595">
        <f t="shared" si="28"/>
        <v>47947.174265988971</v>
      </c>
      <c r="Q23" s="595">
        <f t="shared" si="28"/>
        <v>50992.786281617184</v>
      </c>
      <c r="R23" s="595">
        <f t="shared" si="28"/>
        <v>50992.786281617184</v>
      </c>
      <c r="S23" s="595">
        <f t="shared" si="28"/>
        <v>50992.786281617184</v>
      </c>
      <c r="T23" s="595">
        <f t="shared" si="28"/>
        <v>50992.786281617184</v>
      </c>
      <c r="U23" s="595">
        <f t="shared" si="28"/>
        <v>50992.786281617184</v>
      </c>
      <c r="V23" s="595">
        <f t="shared" si="28"/>
        <v>50992.786281617184</v>
      </c>
      <c r="W23" s="595">
        <f t="shared" si="28"/>
        <v>50992.786281617184</v>
      </c>
      <c r="X23" s="595">
        <f t="shared" si="28"/>
        <v>50992.786281617184</v>
      </c>
      <c r="Y23" s="1073">
        <f t="shared" si="29"/>
        <v>780785.7633405563</v>
      </c>
      <c r="Z23" s="869">
        <f t="shared" si="30"/>
        <v>492274.5534620845</v>
      </c>
      <c r="AB23" s="600"/>
    </row>
    <row r="24" spans="1:29" x14ac:dyDescent="0.15">
      <c r="A24" s="28"/>
      <c r="B24" s="1053" t="s">
        <v>2051</v>
      </c>
      <c r="C24" s="1005">
        <v>4.0000000000000002E-4</v>
      </c>
      <c r="D24" s="595" t="e">
        <f t="shared" si="28"/>
        <v>#REF!</v>
      </c>
      <c r="E24" s="595">
        <f t="shared" si="28"/>
        <v>13382.754488731862</v>
      </c>
      <c r="F24" s="595">
        <f t="shared" si="28"/>
        <v>27253.853030594695</v>
      </c>
      <c r="G24" s="595">
        <f t="shared" si="28"/>
        <v>30091.018806828823</v>
      </c>
      <c r="H24" s="595">
        <f t="shared" si="28"/>
        <v>34909.93726010299</v>
      </c>
      <c r="I24" s="595">
        <f t="shared" si="28"/>
        <v>39249.531135087185</v>
      </c>
      <c r="J24" s="595">
        <f t="shared" si="28"/>
        <v>44010.456907762265</v>
      </c>
      <c r="K24" s="595">
        <f t="shared" si="28"/>
        <v>47505.148638462</v>
      </c>
      <c r="L24" s="595">
        <f t="shared" si="28"/>
        <v>51087.18030974803</v>
      </c>
      <c r="M24" s="595">
        <f t="shared" si="28"/>
        <v>54852.066226696421</v>
      </c>
      <c r="N24" s="595">
        <f t="shared" si="28"/>
        <v>58993.652011221842</v>
      </c>
      <c r="O24" s="595">
        <f t="shared" si="28"/>
        <v>64465.546448749687</v>
      </c>
      <c r="P24" s="595">
        <f t="shared" si="28"/>
        <v>68741.468481704622</v>
      </c>
      <c r="Q24" s="595">
        <f t="shared" si="28"/>
        <v>73107.937321314952</v>
      </c>
      <c r="R24" s="595">
        <f t="shared" si="28"/>
        <v>73107.937321314952</v>
      </c>
      <c r="S24" s="595">
        <f t="shared" si="28"/>
        <v>73107.937321314952</v>
      </c>
      <c r="T24" s="595">
        <f t="shared" si="28"/>
        <v>73107.937321314952</v>
      </c>
      <c r="U24" s="595">
        <f t="shared" si="28"/>
        <v>73107.937321314952</v>
      </c>
      <c r="V24" s="595">
        <f t="shared" si="28"/>
        <v>73107.937321314952</v>
      </c>
      <c r="W24" s="595">
        <f t="shared" si="28"/>
        <v>73107.937321314952</v>
      </c>
      <c r="X24" s="595">
        <f t="shared" si="28"/>
        <v>73107.937321314952</v>
      </c>
      <c r="Y24" s="1073">
        <f t="shared" si="29"/>
        <v>1119406.1123162101</v>
      </c>
      <c r="Z24" s="869">
        <f t="shared" si="30"/>
        <v>705769.96912126814</v>
      </c>
      <c r="AB24" s="600"/>
    </row>
    <row r="25" spans="1:29" x14ac:dyDescent="0.15">
      <c r="A25" s="28"/>
      <c r="B25" s="1053" t="s">
        <v>2052</v>
      </c>
      <c r="C25" s="1005">
        <v>1.8580000000000001E-3</v>
      </c>
      <c r="D25" s="595" t="e">
        <f t="shared" si="28"/>
        <v>#REF!</v>
      </c>
      <c r="E25" s="595">
        <f t="shared" si="28"/>
        <v>62162.894600159496</v>
      </c>
      <c r="F25" s="595">
        <f t="shared" si="28"/>
        <v>126594.14732711235</v>
      </c>
      <c r="G25" s="595">
        <f t="shared" si="28"/>
        <v>139772.78235771987</v>
      </c>
      <c r="H25" s="595">
        <f t="shared" si="28"/>
        <v>162156.65857317837</v>
      </c>
      <c r="I25" s="595">
        <f t="shared" si="28"/>
        <v>182314.07212247996</v>
      </c>
      <c r="J25" s="595">
        <f t="shared" si="28"/>
        <v>204428.57233655572</v>
      </c>
      <c r="K25" s="595">
        <f t="shared" si="28"/>
        <v>220661.41542565599</v>
      </c>
      <c r="L25" s="595">
        <f t="shared" si="28"/>
        <v>237299.95253877962</v>
      </c>
      <c r="M25" s="595">
        <f t="shared" si="28"/>
        <v>254787.84762300487</v>
      </c>
      <c r="N25" s="595">
        <f t="shared" si="28"/>
        <v>274025.51359212544</v>
      </c>
      <c r="O25" s="595">
        <f t="shared" si="28"/>
        <v>299442.46325444232</v>
      </c>
      <c r="P25" s="595">
        <f t="shared" si="28"/>
        <v>319304.12109751796</v>
      </c>
      <c r="Q25" s="595">
        <f t="shared" si="28"/>
        <v>339586.368857508</v>
      </c>
      <c r="R25" s="595">
        <f t="shared" si="28"/>
        <v>339586.368857508</v>
      </c>
      <c r="S25" s="595">
        <f t="shared" si="28"/>
        <v>339586.368857508</v>
      </c>
      <c r="T25" s="595">
        <f t="shared" si="28"/>
        <v>339586.368857508</v>
      </c>
      <c r="U25" s="595">
        <f t="shared" si="28"/>
        <v>339586.368857508</v>
      </c>
      <c r="V25" s="595">
        <f t="shared" si="28"/>
        <v>339586.368857508</v>
      </c>
      <c r="W25" s="595">
        <f t="shared" si="28"/>
        <v>339586.368857508</v>
      </c>
      <c r="X25" s="595">
        <f t="shared" si="28"/>
        <v>339586.368857508</v>
      </c>
      <c r="Y25" s="1073">
        <f t="shared" si="29"/>
        <v>5199641.391708795</v>
      </c>
      <c r="Z25" s="869">
        <f t="shared" si="30"/>
        <v>3278301.5065682898</v>
      </c>
      <c r="AB25" s="600"/>
    </row>
    <row r="26" spans="1:29" ht="15.75" customHeight="1" x14ac:dyDescent="0.15">
      <c r="A26" s="28"/>
      <c r="B26" s="1054" t="s">
        <v>0</v>
      </c>
      <c r="C26" s="1006">
        <f t="shared" ref="C26:R26" si="32">SUM(C18:C25)</f>
        <v>1.4969999999999999E-2</v>
      </c>
      <c r="D26" s="595" t="e">
        <f t="shared" si="32"/>
        <v>#REF!</v>
      </c>
      <c r="E26" s="595">
        <f t="shared" si="32"/>
        <v>500849.58674078993</v>
      </c>
      <c r="F26" s="595">
        <f t="shared" si="32"/>
        <v>1019975.4496700065</v>
      </c>
      <c r="G26" s="595">
        <f t="shared" si="32"/>
        <v>1126156.3788455685</v>
      </c>
      <c r="H26" s="595">
        <f t="shared" si="32"/>
        <v>1306504.4019593543</v>
      </c>
      <c r="I26" s="595">
        <f t="shared" si="32"/>
        <v>1468913.702730638</v>
      </c>
      <c r="J26" s="595">
        <f t="shared" si="32"/>
        <v>1647091.3497730026</v>
      </c>
      <c r="K26" s="595">
        <f t="shared" si="32"/>
        <v>1777880.1877944402</v>
      </c>
      <c r="L26" s="595">
        <f t="shared" si="32"/>
        <v>1911937.7230923201</v>
      </c>
      <c r="M26" s="595">
        <f t="shared" si="32"/>
        <v>2052838.5785341135</v>
      </c>
      <c r="N26" s="595">
        <f t="shared" si="32"/>
        <v>2207837.4265199774</v>
      </c>
      <c r="O26" s="595">
        <f t="shared" si="32"/>
        <v>2412623.0758444569</v>
      </c>
      <c r="P26" s="595">
        <f t="shared" si="32"/>
        <v>2572649.4579277956</v>
      </c>
      <c r="Q26" s="595">
        <f t="shared" si="32"/>
        <v>2736064.5542502129</v>
      </c>
      <c r="R26" s="595">
        <f t="shared" si="32"/>
        <v>2736064.5542502129</v>
      </c>
      <c r="S26" s="595">
        <f t="shared" ref="S26:X26" si="33">SUM(S18:S25)</f>
        <v>2736064.5542502129</v>
      </c>
      <c r="T26" s="595">
        <f t="shared" si="33"/>
        <v>2736064.5542502129</v>
      </c>
      <c r="U26" s="595">
        <f t="shared" si="33"/>
        <v>2736064.5542502129</v>
      </c>
      <c r="V26" s="595">
        <f t="shared" si="33"/>
        <v>2736064.5542502129</v>
      </c>
      <c r="W26" s="595">
        <f t="shared" si="33"/>
        <v>2736064.5542502129</v>
      </c>
      <c r="X26" s="595">
        <f t="shared" si="33"/>
        <v>2736064.5542502129</v>
      </c>
      <c r="Y26" s="1073">
        <f t="shared" si="29"/>
        <v>41893773.753434166</v>
      </c>
      <c r="Z26" s="869">
        <f t="shared" si="30"/>
        <v>26413441.094363451</v>
      </c>
      <c r="AB26" s="600"/>
    </row>
    <row r="27" spans="1:29" x14ac:dyDescent="0.15">
      <c r="B27" s="1064" t="s">
        <v>1261</v>
      </c>
      <c r="C27" s="1065"/>
      <c r="D27" s="1066" t="e">
        <f t="shared" ref="D27:M27" si="34">D26</f>
        <v>#REF!</v>
      </c>
      <c r="E27" s="1066">
        <f t="shared" si="34"/>
        <v>500849.58674078993</v>
      </c>
      <c r="F27" s="1066">
        <f t="shared" si="34"/>
        <v>1019975.4496700065</v>
      </c>
      <c r="G27" s="1066">
        <f t="shared" si="34"/>
        <v>1126156.3788455685</v>
      </c>
      <c r="H27" s="1066">
        <f t="shared" si="34"/>
        <v>1306504.4019593543</v>
      </c>
      <c r="I27" s="1066">
        <f t="shared" si="34"/>
        <v>1468913.702730638</v>
      </c>
      <c r="J27" s="1066">
        <f t="shared" si="34"/>
        <v>1647091.3497730026</v>
      </c>
      <c r="K27" s="1066">
        <f t="shared" si="34"/>
        <v>1777880.1877944402</v>
      </c>
      <c r="L27" s="1066">
        <f t="shared" si="34"/>
        <v>1911937.7230923201</v>
      </c>
      <c r="M27" s="1066">
        <f t="shared" si="34"/>
        <v>2052838.5785341135</v>
      </c>
      <c r="N27" s="1066">
        <f>N26</f>
        <v>2207837.4265199774</v>
      </c>
      <c r="O27" s="1066">
        <f>O26</f>
        <v>2412623.0758444569</v>
      </c>
      <c r="P27" s="1066">
        <f>P26</f>
        <v>2572649.4579277956</v>
      </c>
      <c r="Q27" s="1066">
        <f>Q26</f>
        <v>2736064.5542502129</v>
      </c>
      <c r="R27" s="1066">
        <f t="shared" ref="R27:X27" si="35">R26</f>
        <v>2736064.5542502129</v>
      </c>
      <c r="S27" s="1066">
        <f t="shared" si="35"/>
        <v>2736064.5542502129</v>
      </c>
      <c r="T27" s="1066">
        <f t="shared" si="35"/>
        <v>2736064.5542502129</v>
      </c>
      <c r="U27" s="1066">
        <f t="shared" si="35"/>
        <v>2736064.5542502129</v>
      </c>
      <c r="V27" s="1066">
        <f t="shared" si="35"/>
        <v>2736064.5542502129</v>
      </c>
      <c r="W27" s="1066">
        <f t="shared" si="35"/>
        <v>2736064.5542502129</v>
      </c>
      <c r="X27" s="1066">
        <f t="shared" si="35"/>
        <v>2736064.5542502129</v>
      </c>
      <c r="Y27" s="1040">
        <f t="shared" si="29"/>
        <v>41893773.753434166</v>
      </c>
      <c r="Z27" s="1067">
        <f t="shared" si="30"/>
        <v>26413441.094363451</v>
      </c>
    </row>
    <row r="28" spans="1:29" x14ac:dyDescent="0.15">
      <c r="B28" s="1050" t="s">
        <v>1262</v>
      </c>
      <c r="C28" s="1007"/>
      <c r="D28" s="996">
        <f t="shared" ref="D28:F29" si="36">D6</f>
        <v>2017</v>
      </c>
      <c r="E28" s="996">
        <f t="shared" si="36"/>
        <v>2020</v>
      </c>
      <c r="F28" s="996">
        <f t="shared" si="36"/>
        <v>2021</v>
      </c>
      <c r="G28" s="996">
        <f t="shared" ref="G28:R29" si="37">F28+1</f>
        <v>2022</v>
      </c>
      <c r="H28" s="996">
        <f t="shared" si="37"/>
        <v>2023</v>
      </c>
      <c r="I28" s="996">
        <f t="shared" si="37"/>
        <v>2024</v>
      </c>
      <c r="J28" s="996">
        <f t="shared" si="37"/>
        <v>2025</v>
      </c>
      <c r="K28" s="996">
        <f t="shared" si="37"/>
        <v>2026</v>
      </c>
      <c r="L28" s="996">
        <f t="shared" si="37"/>
        <v>2027</v>
      </c>
      <c r="M28" s="996">
        <f t="shared" si="37"/>
        <v>2028</v>
      </c>
      <c r="N28" s="996">
        <f t="shared" si="37"/>
        <v>2029</v>
      </c>
      <c r="O28" s="996">
        <f t="shared" si="37"/>
        <v>2030</v>
      </c>
      <c r="P28" s="996">
        <f t="shared" si="37"/>
        <v>2031</v>
      </c>
      <c r="Q28" s="996">
        <f t="shared" si="37"/>
        <v>2032</v>
      </c>
      <c r="R28" s="996">
        <f t="shared" si="37"/>
        <v>2033</v>
      </c>
      <c r="S28" s="996">
        <f t="shared" ref="S28:S29" si="38">R28+1</f>
        <v>2034</v>
      </c>
      <c r="T28" s="996">
        <f t="shared" ref="T28:T29" si="39">S28+1</f>
        <v>2035</v>
      </c>
      <c r="U28" s="996">
        <f t="shared" ref="U28:U29" si="40">T28+1</f>
        <v>2036</v>
      </c>
      <c r="V28" s="996">
        <f t="shared" ref="V28:V29" si="41">U28+1</f>
        <v>2037</v>
      </c>
      <c r="W28" s="996">
        <f t="shared" ref="W28:W29" si="42">V28+1</f>
        <v>2038</v>
      </c>
      <c r="X28" s="996">
        <f t="shared" ref="X28:X29" si="43">W28+1</f>
        <v>2039</v>
      </c>
      <c r="Y28" s="997"/>
      <c r="Z28" s="1045"/>
    </row>
    <row r="29" spans="1:29" x14ac:dyDescent="0.15">
      <c r="B29" s="1021" t="s">
        <v>9</v>
      </c>
      <c r="C29" s="1022"/>
      <c r="D29" s="1075">
        <f t="shared" si="36"/>
        <v>2016</v>
      </c>
      <c r="E29" s="1075">
        <f t="shared" si="36"/>
        <v>2019</v>
      </c>
      <c r="F29" s="1075">
        <f t="shared" si="36"/>
        <v>2020</v>
      </c>
      <c r="G29" s="1075">
        <f t="shared" si="37"/>
        <v>2021</v>
      </c>
      <c r="H29" s="1075">
        <f t="shared" si="37"/>
        <v>2022</v>
      </c>
      <c r="I29" s="1075">
        <f t="shared" si="37"/>
        <v>2023</v>
      </c>
      <c r="J29" s="1075">
        <f t="shared" si="37"/>
        <v>2024</v>
      </c>
      <c r="K29" s="1075">
        <f t="shared" si="37"/>
        <v>2025</v>
      </c>
      <c r="L29" s="1075">
        <f t="shared" si="37"/>
        <v>2026</v>
      </c>
      <c r="M29" s="1075">
        <f t="shared" si="37"/>
        <v>2027</v>
      </c>
      <c r="N29" s="1075">
        <f t="shared" si="37"/>
        <v>2028</v>
      </c>
      <c r="O29" s="1075">
        <f t="shared" si="37"/>
        <v>2029</v>
      </c>
      <c r="P29" s="1075">
        <f t="shared" si="37"/>
        <v>2030</v>
      </c>
      <c r="Q29" s="1075">
        <f t="shared" si="37"/>
        <v>2031</v>
      </c>
      <c r="R29" s="1075">
        <f t="shared" si="37"/>
        <v>2032</v>
      </c>
      <c r="S29" s="1075">
        <f t="shared" si="38"/>
        <v>2033</v>
      </c>
      <c r="T29" s="1075">
        <f t="shared" si="39"/>
        <v>2034</v>
      </c>
      <c r="U29" s="1075">
        <f t="shared" si="40"/>
        <v>2035</v>
      </c>
      <c r="V29" s="1075">
        <f t="shared" si="41"/>
        <v>2036</v>
      </c>
      <c r="W29" s="1075">
        <f t="shared" si="42"/>
        <v>2037</v>
      </c>
      <c r="X29" s="1075">
        <f t="shared" si="43"/>
        <v>2038</v>
      </c>
      <c r="Y29" s="607" t="s">
        <v>5</v>
      </c>
      <c r="Z29" s="1013" t="s">
        <v>15</v>
      </c>
    </row>
    <row r="30" spans="1:29" x14ac:dyDescent="0.15">
      <c r="B30" s="1023" t="s">
        <v>31</v>
      </c>
      <c r="C30" s="1024"/>
      <c r="D30" s="1025"/>
      <c r="E30" s="1025"/>
      <c r="F30" s="1025"/>
      <c r="G30" s="1025"/>
      <c r="H30" s="1026"/>
      <c r="I30" s="1026"/>
      <c r="J30" s="1026"/>
      <c r="K30" s="1026"/>
      <c r="L30" s="1026"/>
      <c r="M30" s="1026"/>
      <c r="N30" s="1026"/>
      <c r="O30" s="1026"/>
      <c r="P30" s="1026"/>
      <c r="Q30" s="1026"/>
      <c r="R30" s="1026"/>
      <c r="S30" s="1026"/>
      <c r="T30" s="1026"/>
      <c r="U30" s="1026"/>
      <c r="V30" s="1026"/>
      <c r="W30" s="1026"/>
      <c r="X30" s="1026"/>
      <c r="Y30" s="1026"/>
      <c r="Z30" s="1027"/>
    </row>
    <row r="31" spans="1:29" x14ac:dyDescent="0.15">
      <c r="B31" s="1055" t="str">
        <f>B18</f>
        <v>Salt Lake County</v>
      </c>
      <c r="C31" s="1008"/>
      <c r="D31" s="1000">
        <v>0</v>
      </c>
      <c r="E31" s="1000">
        <v>0.75</v>
      </c>
      <c r="F31" s="1000">
        <f t="shared" ref="F31:I38" si="44">E31</f>
        <v>0.75</v>
      </c>
      <c r="G31" s="1000">
        <f t="shared" si="44"/>
        <v>0.75</v>
      </c>
      <c r="H31" s="1000">
        <f t="shared" si="44"/>
        <v>0.75</v>
      </c>
      <c r="I31" s="1000">
        <f t="shared" si="44"/>
        <v>0.75</v>
      </c>
      <c r="J31" s="1000">
        <f t="shared" ref="J31:J38" si="45">I31</f>
        <v>0.75</v>
      </c>
      <c r="K31" s="1000">
        <f t="shared" ref="K31:K38" si="46">J31</f>
        <v>0.75</v>
      </c>
      <c r="L31" s="1000">
        <f t="shared" ref="L31:L38" si="47">K31</f>
        <v>0.75</v>
      </c>
      <c r="M31" s="1000">
        <f t="shared" ref="M31:M38" si="48">L31</f>
        <v>0.75</v>
      </c>
      <c r="N31" s="1000">
        <f t="shared" ref="N31:N38" si="49">M31</f>
        <v>0.75</v>
      </c>
      <c r="O31" s="1000">
        <f t="shared" ref="O31:O38" si="50">N31</f>
        <v>0.75</v>
      </c>
      <c r="P31" s="1000">
        <f t="shared" ref="P31:P38" si="51">O31</f>
        <v>0.75</v>
      </c>
      <c r="Q31" s="1000">
        <f t="shared" ref="Q31:Q38" si="52">P31</f>
        <v>0.75</v>
      </c>
      <c r="R31" s="1000">
        <f t="shared" ref="R31:R38" si="53">Q31</f>
        <v>0.75</v>
      </c>
      <c r="S31" s="1000">
        <f t="shared" ref="S31:S38" si="54">R31</f>
        <v>0.75</v>
      </c>
      <c r="T31" s="1000">
        <f t="shared" ref="T31:T38" si="55">S31</f>
        <v>0.75</v>
      </c>
      <c r="U31" s="1000">
        <f t="shared" ref="U31:U38" si="56">T31</f>
        <v>0.75</v>
      </c>
      <c r="V31" s="1000">
        <f t="shared" ref="V31:V38" si="57">U31</f>
        <v>0.75</v>
      </c>
      <c r="W31" s="1000">
        <f t="shared" ref="W31:W38" si="58">V31</f>
        <v>0.75</v>
      </c>
      <c r="X31" s="1000">
        <f t="shared" ref="X31:X38" si="59">W31</f>
        <v>0.75</v>
      </c>
      <c r="Y31" s="1057"/>
      <c r="Z31" s="1068"/>
      <c r="AB31" s="690"/>
    </row>
    <row r="32" spans="1:29" x14ac:dyDescent="0.15">
      <c r="B32" s="1055" t="str">
        <f>B19</f>
        <v>Salt Lake County Library</v>
      </c>
      <c r="C32" s="1008"/>
      <c r="D32" s="1000">
        <v>0</v>
      </c>
      <c r="E32" s="1000">
        <v>0.75</v>
      </c>
      <c r="F32" s="1000">
        <f t="shared" si="44"/>
        <v>0.75</v>
      </c>
      <c r="G32" s="1000">
        <f t="shared" si="44"/>
        <v>0.75</v>
      </c>
      <c r="H32" s="1000">
        <f t="shared" si="44"/>
        <v>0.75</v>
      </c>
      <c r="I32" s="1000">
        <f t="shared" si="44"/>
        <v>0.75</v>
      </c>
      <c r="J32" s="1000">
        <f t="shared" si="45"/>
        <v>0.75</v>
      </c>
      <c r="K32" s="1000">
        <f t="shared" si="46"/>
        <v>0.75</v>
      </c>
      <c r="L32" s="1000">
        <f t="shared" si="47"/>
        <v>0.75</v>
      </c>
      <c r="M32" s="1000">
        <f t="shared" si="48"/>
        <v>0.75</v>
      </c>
      <c r="N32" s="1000">
        <f t="shared" si="49"/>
        <v>0.75</v>
      </c>
      <c r="O32" s="1000">
        <f t="shared" si="50"/>
        <v>0.75</v>
      </c>
      <c r="P32" s="1000">
        <f t="shared" si="51"/>
        <v>0.75</v>
      </c>
      <c r="Q32" s="1000">
        <f t="shared" si="52"/>
        <v>0.75</v>
      </c>
      <c r="R32" s="1000">
        <f t="shared" si="53"/>
        <v>0.75</v>
      </c>
      <c r="S32" s="1000">
        <f t="shared" si="54"/>
        <v>0.75</v>
      </c>
      <c r="T32" s="1000">
        <f t="shared" si="55"/>
        <v>0.75</v>
      </c>
      <c r="U32" s="1000">
        <f t="shared" si="56"/>
        <v>0.75</v>
      </c>
      <c r="V32" s="1000">
        <f t="shared" si="57"/>
        <v>0.75</v>
      </c>
      <c r="W32" s="1000">
        <f t="shared" si="58"/>
        <v>0.75</v>
      </c>
      <c r="X32" s="1000">
        <f t="shared" si="59"/>
        <v>0.75</v>
      </c>
      <c r="Y32" s="1057"/>
      <c r="Z32" s="1068"/>
      <c r="AB32" s="690"/>
    </row>
    <row r="33" spans="2:29" x14ac:dyDescent="0.15">
      <c r="B33" s="1055" t="str">
        <f t="shared" ref="B33:B38" si="60">B20</f>
        <v>Granite School District</v>
      </c>
      <c r="C33" s="1008"/>
      <c r="D33" s="1000">
        <v>0</v>
      </c>
      <c r="E33" s="1000">
        <v>0.8</v>
      </c>
      <c r="F33" s="1000">
        <f>E33</f>
        <v>0.8</v>
      </c>
      <c r="G33" s="1000">
        <f t="shared" si="44"/>
        <v>0.8</v>
      </c>
      <c r="H33" s="1000">
        <f t="shared" si="44"/>
        <v>0.8</v>
      </c>
      <c r="I33" s="1000">
        <f t="shared" si="44"/>
        <v>0.8</v>
      </c>
      <c r="J33" s="1000">
        <f t="shared" si="45"/>
        <v>0.8</v>
      </c>
      <c r="K33" s="1000">
        <f t="shared" si="46"/>
        <v>0.8</v>
      </c>
      <c r="L33" s="1000">
        <f t="shared" si="47"/>
        <v>0.8</v>
      </c>
      <c r="M33" s="1000">
        <f t="shared" si="48"/>
        <v>0.8</v>
      </c>
      <c r="N33" s="1000">
        <f t="shared" si="49"/>
        <v>0.8</v>
      </c>
      <c r="O33" s="1000">
        <f t="shared" si="50"/>
        <v>0.8</v>
      </c>
      <c r="P33" s="1000">
        <f t="shared" si="51"/>
        <v>0.8</v>
      </c>
      <c r="Q33" s="1000">
        <f t="shared" si="52"/>
        <v>0.8</v>
      </c>
      <c r="R33" s="1000">
        <f t="shared" si="53"/>
        <v>0.8</v>
      </c>
      <c r="S33" s="1000">
        <f t="shared" si="54"/>
        <v>0.8</v>
      </c>
      <c r="T33" s="1000">
        <f t="shared" si="55"/>
        <v>0.8</v>
      </c>
      <c r="U33" s="1000">
        <f t="shared" si="56"/>
        <v>0.8</v>
      </c>
      <c r="V33" s="1000">
        <f t="shared" si="57"/>
        <v>0.8</v>
      </c>
      <c r="W33" s="1000">
        <f t="shared" si="58"/>
        <v>0.8</v>
      </c>
      <c r="X33" s="1000">
        <f t="shared" si="59"/>
        <v>0.8</v>
      </c>
      <c r="Y33" s="1057"/>
      <c r="Z33" s="1068"/>
    </row>
    <row r="34" spans="2:29" x14ac:dyDescent="0.15">
      <c r="B34" s="1055" t="str">
        <f t="shared" si="60"/>
        <v>Millcreek City</v>
      </c>
      <c r="C34" s="1008"/>
      <c r="D34" s="1000">
        <v>0</v>
      </c>
      <c r="E34" s="1000">
        <v>0.8</v>
      </c>
      <c r="F34" s="1000">
        <f t="shared" ref="F34:F36" si="61">E34</f>
        <v>0.8</v>
      </c>
      <c r="G34" s="1000">
        <f t="shared" si="44"/>
        <v>0.8</v>
      </c>
      <c r="H34" s="1000">
        <f t="shared" si="44"/>
        <v>0.8</v>
      </c>
      <c r="I34" s="1000">
        <f t="shared" si="44"/>
        <v>0.8</v>
      </c>
      <c r="J34" s="1000">
        <f t="shared" si="45"/>
        <v>0.8</v>
      </c>
      <c r="K34" s="1000">
        <f t="shared" si="46"/>
        <v>0.8</v>
      </c>
      <c r="L34" s="1000">
        <f t="shared" si="47"/>
        <v>0.8</v>
      </c>
      <c r="M34" s="1000">
        <f t="shared" si="48"/>
        <v>0.8</v>
      </c>
      <c r="N34" s="1000">
        <f t="shared" si="49"/>
        <v>0.8</v>
      </c>
      <c r="O34" s="1000">
        <f t="shared" si="50"/>
        <v>0.8</v>
      </c>
      <c r="P34" s="1000">
        <f t="shared" si="51"/>
        <v>0.8</v>
      </c>
      <c r="Q34" s="1000">
        <f t="shared" si="52"/>
        <v>0.8</v>
      </c>
      <c r="R34" s="1000">
        <f t="shared" si="53"/>
        <v>0.8</v>
      </c>
      <c r="S34" s="1000">
        <f t="shared" si="54"/>
        <v>0.8</v>
      </c>
      <c r="T34" s="1000">
        <f t="shared" si="55"/>
        <v>0.8</v>
      </c>
      <c r="U34" s="1000">
        <f t="shared" si="56"/>
        <v>0.8</v>
      </c>
      <c r="V34" s="1000">
        <f t="shared" si="57"/>
        <v>0.8</v>
      </c>
      <c r="W34" s="1000">
        <f t="shared" si="58"/>
        <v>0.8</v>
      </c>
      <c r="X34" s="1000">
        <f t="shared" si="59"/>
        <v>0.8</v>
      </c>
      <c r="Y34" s="1057"/>
      <c r="Z34" s="1068"/>
      <c r="AB34" s="690"/>
    </row>
    <row r="35" spans="2:29" x14ac:dyDescent="0.15">
      <c r="B35" s="1055" t="str">
        <f t="shared" si="60"/>
        <v>South Salt Lake Valley Mosquito Abatement District</v>
      </c>
      <c r="C35" s="1008"/>
      <c r="D35" s="1000">
        <v>0</v>
      </c>
      <c r="E35" s="1000">
        <v>0.8</v>
      </c>
      <c r="F35" s="1000">
        <f t="shared" si="61"/>
        <v>0.8</v>
      </c>
      <c r="G35" s="1000">
        <f t="shared" si="44"/>
        <v>0.8</v>
      </c>
      <c r="H35" s="1000">
        <f t="shared" si="44"/>
        <v>0.8</v>
      </c>
      <c r="I35" s="1000">
        <f t="shared" si="44"/>
        <v>0.8</v>
      </c>
      <c r="J35" s="1000">
        <f t="shared" si="45"/>
        <v>0.8</v>
      </c>
      <c r="K35" s="1000">
        <f t="shared" si="46"/>
        <v>0.8</v>
      </c>
      <c r="L35" s="1000">
        <f t="shared" si="47"/>
        <v>0.8</v>
      </c>
      <c r="M35" s="1000">
        <f t="shared" si="48"/>
        <v>0.8</v>
      </c>
      <c r="N35" s="1000">
        <f t="shared" si="49"/>
        <v>0.8</v>
      </c>
      <c r="O35" s="1000">
        <f t="shared" si="50"/>
        <v>0.8</v>
      </c>
      <c r="P35" s="1000">
        <f t="shared" si="51"/>
        <v>0.8</v>
      </c>
      <c r="Q35" s="1000">
        <f t="shared" si="52"/>
        <v>0.8</v>
      </c>
      <c r="R35" s="1000">
        <f t="shared" si="53"/>
        <v>0.8</v>
      </c>
      <c r="S35" s="1000">
        <f t="shared" si="54"/>
        <v>0.8</v>
      </c>
      <c r="T35" s="1000">
        <f t="shared" si="55"/>
        <v>0.8</v>
      </c>
      <c r="U35" s="1000">
        <f t="shared" si="56"/>
        <v>0.8</v>
      </c>
      <c r="V35" s="1000">
        <f t="shared" si="57"/>
        <v>0.8</v>
      </c>
      <c r="W35" s="1000">
        <f t="shared" si="58"/>
        <v>0.8</v>
      </c>
      <c r="X35" s="1000">
        <f t="shared" si="59"/>
        <v>0.8</v>
      </c>
      <c r="Y35" s="1057"/>
      <c r="Z35" s="1068"/>
      <c r="AB35" s="690"/>
    </row>
    <row r="36" spans="2:29" x14ac:dyDescent="0.15">
      <c r="B36" s="1055" t="str">
        <f t="shared" si="60"/>
        <v>Mt. Olympus Improvement District</v>
      </c>
      <c r="C36" s="1008"/>
      <c r="D36" s="1000">
        <v>0</v>
      </c>
      <c r="E36" s="1000">
        <v>0.8</v>
      </c>
      <c r="F36" s="1000">
        <f t="shared" si="61"/>
        <v>0.8</v>
      </c>
      <c r="G36" s="1000">
        <f t="shared" si="44"/>
        <v>0.8</v>
      </c>
      <c r="H36" s="1000">
        <f t="shared" si="44"/>
        <v>0.8</v>
      </c>
      <c r="I36" s="1000">
        <f t="shared" si="44"/>
        <v>0.8</v>
      </c>
      <c r="J36" s="1000">
        <f t="shared" si="45"/>
        <v>0.8</v>
      </c>
      <c r="K36" s="1000">
        <f t="shared" si="46"/>
        <v>0.8</v>
      </c>
      <c r="L36" s="1000">
        <f t="shared" si="47"/>
        <v>0.8</v>
      </c>
      <c r="M36" s="1000">
        <f t="shared" si="48"/>
        <v>0.8</v>
      </c>
      <c r="N36" s="1000">
        <f t="shared" si="49"/>
        <v>0.8</v>
      </c>
      <c r="O36" s="1000">
        <f t="shared" si="50"/>
        <v>0.8</v>
      </c>
      <c r="P36" s="1000">
        <f t="shared" si="51"/>
        <v>0.8</v>
      </c>
      <c r="Q36" s="1000">
        <f t="shared" si="52"/>
        <v>0.8</v>
      </c>
      <c r="R36" s="1000">
        <f t="shared" si="53"/>
        <v>0.8</v>
      </c>
      <c r="S36" s="1000">
        <f t="shared" si="54"/>
        <v>0.8</v>
      </c>
      <c r="T36" s="1000">
        <f t="shared" si="55"/>
        <v>0.8</v>
      </c>
      <c r="U36" s="1000">
        <f t="shared" si="56"/>
        <v>0.8</v>
      </c>
      <c r="V36" s="1000">
        <f t="shared" si="57"/>
        <v>0.8</v>
      </c>
      <c r="W36" s="1000">
        <f t="shared" si="58"/>
        <v>0.8</v>
      </c>
      <c r="X36" s="1000">
        <f t="shared" si="59"/>
        <v>0.8</v>
      </c>
      <c r="Y36" s="1057"/>
      <c r="Z36" s="1068"/>
      <c r="AB36" s="690"/>
    </row>
    <row r="37" spans="2:29" x14ac:dyDescent="0.15">
      <c r="B37" s="1055" t="str">
        <f t="shared" si="60"/>
        <v>Central Utah Water Conservancy District</v>
      </c>
      <c r="C37" s="1008"/>
      <c r="D37" s="1000">
        <v>0</v>
      </c>
      <c r="E37" s="1000">
        <v>0.8</v>
      </c>
      <c r="F37" s="1000">
        <f t="shared" si="44"/>
        <v>0.8</v>
      </c>
      <c r="G37" s="1000">
        <f t="shared" si="44"/>
        <v>0.8</v>
      </c>
      <c r="H37" s="1000">
        <f t="shared" si="44"/>
        <v>0.8</v>
      </c>
      <c r="I37" s="1000">
        <f t="shared" si="44"/>
        <v>0.8</v>
      </c>
      <c r="J37" s="1000">
        <f t="shared" si="45"/>
        <v>0.8</v>
      </c>
      <c r="K37" s="1000">
        <f t="shared" si="46"/>
        <v>0.8</v>
      </c>
      <c r="L37" s="1000">
        <f t="shared" si="47"/>
        <v>0.8</v>
      </c>
      <c r="M37" s="1000">
        <f t="shared" si="48"/>
        <v>0.8</v>
      </c>
      <c r="N37" s="1000">
        <f t="shared" si="49"/>
        <v>0.8</v>
      </c>
      <c r="O37" s="1000">
        <f t="shared" si="50"/>
        <v>0.8</v>
      </c>
      <c r="P37" s="1000">
        <f t="shared" si="51"/>
        <v>0.8</v>
      </c>
      <c r="Q37" s="1000">
        <f t="shared" si="52"/>
        <v>0.8</v>
      </c>
      <c r="R37" s="1000">
        <f t="shared" si="53"/>
        <v>0.8</v>
      </c>
      <c r="S37" s="1000">
        <f t="shared" si="54"/>
        <v>0.8</v>
      </c>
      <c r="T37" s="1000">
        <f t="shared" si="55"/>
        <v>0.8</v>
      </c>
      <c r="U37" s="1000">
        <f t="shared" si="56"/>
        <v>0.8</v>
      </c>
      <c r="V37" s="1000">
        <f t="shared" si="57"/>
        <v>0.8</v>
      </c>
      <c r="W37" s="1000">
        <f t="shared" si="58"/>
        <v>0.8</v>
      </c>
      <c r="X37" s="1000">
        <f t="shared" si="59"/>
        <v>0.8</v>
      </c>
      <c r="Y37" s="1057"/>
      <c r="Z37" s="1068"/>
    </row>
    <row r="38" spans="2:29" x14ac:dyDescent="0.15">
      <c r="B38" s="1055" t="str">
        <f t="shared" si="60"/>
        <v>Unified Fire Service Area</v>
      </c>
      <c r="C38" s="1008"/>
      <c r="D38" s="1000">
        <v>0</v>
      </c>
      <c r="E38" s="1000">
        <v>0.8</v>
      </c>
      <c r="F38" s="1000">
        <f t="shared" si="44"/>
        <v>0.8</v>
      </c>
      <c r="G38" s="1000">
        <f t="shared" si="44"/>
        <v>0.8</v>
      </c>
      <c r="H38" s="1000">
        <f t="shared" si="44"/>
        <v>0.8</v>
      </c>
      <c r="I38" s="1000">
        <f t="shared" si="44"/>
        <v>0.8</v>
      </c>
      <c r="J38" s="1000">
        <f t="shared" si="45"/>
        <v>0.8</v>
      </c>
      <c r="K38" s="1000">
        <f t="shared" si="46"/>
        <v>0.8</v>
      </c>
      <c r="L38" s="1000">
        <f t="shared" si="47"/>
        <v>0.8</v>
      </c>
      <c r="M38" s="1000">
        <f t="shared" si="48"/>
        <v>0.8</v>
      </c>
      <c r="N38" s="1000">
        <f t="shared" si="49"/>
        <v>0.8</v>
      </c>
      <c r="O38" s="1000">
        <f t="shared" si="50"/>
        <v>0.8</v>
      </c>
      <c r="P38" s="1000">
        <f t="shared" si="51"/>
        <v>0.8</v>
      </c>
      <c r="Q38" s="1000">
        <f t="shared" si="52"/>
        <v>0.8</v>
      </c>
      <c r="R38" s="1000">
        <f t="shared" si="53"/>
        <v>0.8</v>
      </c>
      <c r="S38" s="1000">
        <f t="shared" si="54"/>
        <v>0.8</v>
      </c>
      <c r="T38" s="1000">
        <f t="shared" si="55"/>
        <v>0.8</v>
      </c>
      <c r="U38" s="1000">
        <f t="shared" si="56"/>
        <v>0.8</v>
      </c>
      <c r="V38" s="1000">
        <f t="shared" si="57"/>
        <v>0.8</v>
      </c>
      <c r="W38" s="1000">
        <f t="shared" si="58"/>
        <v>0.8</v>
      </c>
      <c r="X38" s="1000">
        <f t="shared" si="59"/>
        <v>0.8</v>
      </c>
      <c r="Y38" s="1058"/>
      <c r="Z38" s="1069"/>
    </row>
    <row r="39" spans="2:29" x14ac:dyDescent="0.15">
      <c r="B39" s="1028" t="s">
        <v>7</v>
      </c>
      <c r="C39" s="1029"/>
      <c r="D39" s="1019"/>
      <c r="E39" s="1019"/>
      <c r="F39" s="1019"/>
      <c r="G39" s="1019"/>
      <c r="H39" s="1019"/>
      <c r="I39" s="1019"/>
      <c r="J39" s="1019"/>
      <c r="K39" s="1019"/>
      <c r="L39" s="1019"/>
      <c r="M39" s="1019"/>
      <c r="N39" s="1019"/>
      <c r="O39" s="1019"/>
      <c r="P39" s="1019"/>
      <c r="Q39" s="1019"/>
      <c r="R39" s="1019"/>
      <c r="S39" s="1019"/>
      <c r="T39" s="1019"/>
      <c r="U39" s="1019"/>
      <c r="V39" s="1019"/>
      <c r="W39" s="1019"/>
      <c r="X39" s="1019"/>
      <c r="Y39" s="1030"/>
      <c r="Z39" s="1031"/>
    </row>
    <row r="40" spans="2:29" x14ac:dyDescent="0.15">
      <c r="B40" s="1055" t="str">
        <f>B31</f>
        <v>Salt Lake County</v>
      </c>
      <c r="C40" s="1008"/>
      <c r="D40" s="1001" t="e">
        <f>D31*$C18*D$16</f>
        <v>#REF!</v>
      </c>
      <c r="E40" s="991">
        <f t="shared" ref="E40:R40" si="62">E18*E31</f>
        <v>50812.645949403784</v>
      </c>
      <c r="F40" s="991">
        <f t="shared" si="62"/>
        <v>103479.47322553923</v>
      </c>
      <c r="G40" s="991">
        <f t="shared" si="62"/>
        <v>114251.83703217817</v>
      </c>
      <c r="H40" s="991">
        <f t="shared" si="62"/>
        <v>132548.66803445353</v>
      </c>
      <c r="I40" s="991">
        <f t="shared" si="62"/>
        <v>149025.56352853414</v>
      </c>
      <c r="J40" s="991">
        <f t="shared" si="62"/>
        <v>167102.20357165983</v>
      </c>
      <c r="K40" s="991">
        <f t="shared" si="62"/>
        <v>180371.11123666039</v>
      </c>
      <c r="L40" s="991">
        <f t="shared" si="62"/>
        <v>193971.63773857453</v>
      </c>
      <c r="M40" s="991">
        <f t="shared" si="62"/>
        <v>208266.43895448794</v>
      </c>
      <c r="N40" s="991">
        <f t="shared" si="62"/>
        <v>223991.5224801079</v>
      </c>
      <c r="O40" s="991">
        <f t="shared" si="62"/>
        <v>244767.62167259646</v>
      </c>
      <c r="P40" s="991">
        <f t="shared" si="62"/>
        <v>261002.76314147221</v>
      </c>
      <c r="Q40" s="991">
        <f t="shared" si="62"/>
        <v>277581.69951686775</v>
      </c>
      <c r="R40" s="991">
        <f t="shared" si="62"/>
        <v>277581.69951686775</v>
      </c>
      <c r="S40" s="991">
        <f t="shared" ref="S40:X40" si="63">S18*S31</f>
        <v>277581.69951686775</v>
      </c>
      <c r="T40" s="991">
        <f t="shared" si="63"/>
        <v>277581.69951686775</v>
      </c>
      <c r="U40" s="991">
        <f t="shared" si="63"/>
        <v>277581.69951686775</v>
      </c>
      <c r="V40" s="991">
        <f t="shared" si="63"/>
        <v>277581.69951686775</v>
      </c>
      <c r="W40" s="991">
        <f t="shared" si="63"/>
        <v>277581.69951686775</v>
      </c>
      <c r="X40" s="991">
        <f t="shared" si="63"/>
        <v>277581.69951686775</v>
      </c>
      <c r="Y40" s="1035">
        <f t="shared" ref="Y40:Y47" si="64">SUM(E40:X40)</f>
        <v>4250245.0827006102</v>
      </c>
      <c r="Z40" s="1036">
        <f t="shared" ref="Z40:Z47" si="65">NPV($I$2,E40:X40)</f>
        <v>2679720.3515073145</v>
      </c>
      <c r="AB40" s="600"/>
    </row>
    <row r="41" spans="2:29" x14ac:dyDescent="0.15">
      <c r="B41" s="1055" t="str">
        <f>B32</f>
        <v>Salt Lake County Library</v>
      </c>
      <c r="C41" s="1008"/>
      <c r="D41" s="1001"/>
      <c r="E41" s="991">
        <f t="shared" ref="E41:R41" si="66">E19*E32</f>
        <v>14026.799548502084</v>
      </c>
      <c r="F41" s="991">
        <f t="shared" si="66"/>
        <v>28565.444707692062</v>
      </c>
      <c r="G41" s="991">
        <f t="shared" si="66"/>
        <v>31539.149086907462</v>
      </c>
      <c r="H41" s="991">
        <f t="shared" si="66"/>
        <v>36589.977990745443</v>
      </c>
      <c r="I41" s="991">
        <f t="shared" si="66"/>
        <v>41138.414820963255</v>
      </c>
      <c r="J41" s="991">
        <f t="shared" si="66"/>
        <v>46128.460146448328</v>
      </c>
      <c r="K41" s="991">
        <f t="shared" si="66"/>
        <v>49791.333916687974</v>
      </c>
      <c r="L41" s="991">
        <f t="shared" si="66"/>
        <v>53545.750862154659</v>
      </c>
      <c r="M41" s="991">
        <f t="shared" si="66"/>
        <v>57491.821913856184</v>
      </c>
      <c r="N41" s="991">
        <f t="shared" si="66"/>
        <v>61832.721514261888</v>
      </c>
      <c r="O41" s="991">
        <f t="shared" si="66"/>
        <v>67567.950871595764</v>
      </c>
      <c r="P41" s="991">
        <f t="shared" si="66"/>
        <v>72049.651652386659</v>
      </c>
      <c r="Q41" s="991">
        <f t="shared" si="66"/>
        <v>76626.256804903242</v>
      </c>
      <c r="R41" s="991">
        <f t="shared" si="66"/>
        <v>76626.256804903242</v>
      </c>
      <c r="S41" s="991">
        <f t="shared" ref="S41:X41" si="67">S19*S32</f>
        <v>76626.256804903242</v>
      </c>
      <c r="T41" s="991">
        <f t="shared" si="67"/>
        <v>76626.256804903242</v>
      </c>
      <c r="U41" s="991">
        <f t="shared" si="67"/>
        <v>76626.256804903242</v>
      </c>
      <c r="V41" s="991">
        <f t="shared" si="67"/>
        <v>76626.256804903242</v>
      </c>
      <c r="W41" s="991">
        <f t="shared" si="67"/>
        <v>76626.256804903242</v>
      </c>
      <c r="X41" s="991">
        <f t="shared" si="67"/>
        <v>76626.256804903242</v>
      </c>
      <c r="Y41" s="1035">
        <f t="shared" si="64"/>
        <v>1173277.531471428</v>
      </c>
      <c r="Z41" s="1036">
        <f t="shared" si="65"/>
        <v>739735.14888522902</v>
      </c>
      <c r="AB41" s="600"/>
    </row>
    <row r="42" spans="2:29" x14ac:dyDescent="0.15">
      <c r="B42" s="1055" t="str">
        <f t="shared" ref="B42:B47" si="68">B33</f>
        <v>Granite School District</v>
      </c>
      <c r="C42" s="1008"/>
      <c r="D42" s="886" t="e">
        <f>D33*$C20*D$16</f>
        <v>#REF!</v>
      </c>
      <c r="E42" s="991">
        <f t="shared" ref="E42:R42" si="69">E20*E33</f>
        <v>209359.81122172126</v>
      </c>
      <c r="F42" s="991">
        <f t="shared" si="69"/>
        <v>426359.27681062347</v>
      </c>
      <c r="G42" s="991">
        <f t="shared" si="69"/>
        <v>470743.89821403008</v>
      </c>
      <c r="H42" s="991">
        <f t="shared" si="69"/>
        <v>546131.05849705113</v>
      </c>
      <c r="I42" s="991">
        <f t="shared" si="69"/>
        <v>614019.66507730389</v>
      </c>
      <c r="J42" s="991">
        <f t="shared" si="69"/>
        <v>688499.58786503295</v>
      </c>
      <c r="K42" s="991">
        <f t="shared" si="69"/>
        <v>743170.54530009953</v>
      </c>
      <c r="L42" s="991">
        <f t="shared" si="69"/>
        <v>799207.84876569826</v>
      </c>
      <c r="M42" s="991">
        <f t="shared" si="69"/>
        <v>858105.72405043896</v>
      </c>
      <c r="N42" s="991">
        <f t="shared" si="69"/>
        <v>922896.69206355466</v>
      </c>
      <c r="O42" s="991">
        <f t="shared" si="69"/>
        <v>1008499.0086442402</v>
      </c>
      <c r="P42" s="991">
        <f t="shared" si="69"/>
        <v>1075391.5329277872</v>
      </c>
      <c r="Q42" s="991">
        <f t="shared" si="69"/>
        <v>1143700.5714546514</v>
      </c>
      <c r="R42" s="991">
        <f t="shared" si="69"/>
        <v>1143700.5714546514</v>
      </c>
      <c r="S42" s="991">
        <f t="shared" ref="S42:X42" si="70">S20*S33</f>
        <v>1143700.5714546514</v>
      </c>
      <c r="T42" s="991">
        <f t="shared" si="70"/>
        <v>1143700.5714546514</v>
      </c>
      <c r="U42" s="991">
        <f t="shared" si="70"/>
        <v>1143700.5714546514</v>
      </c>
      <c r="V42" s="991">
        <f t="shared" si="70"/>
        <v>1143700.5714546514</v>
      </c>
      <c r="W42" s="991">
        <f t="shared" si="70"/>
        <v>1143700.5714546514</v>
      </c>
      <c r="X42" s="991">
        <f t="shared" si="70"/>
        <v>1143700.5714546514</v>
      </c>
      <c r="Y42" s="1035">
        <f t="shared" si="64"/>
        <v>17511989.221074793</v>
      </c>
      <c r="Z42" s="1036">
        <f t="shared" si="65"/>
        <v>11041065.396933122</v>
      </c>
      <c r="AB42" s="600"/>
    </row>
    <row r="43" spans="2:29" x14ac:dyDescent="0.15">
      <c r="B43" s="1055" t="str">
        <f t="shared" si="68"/>
        <v>Millcreek City</v>
      </c>
      <c r="C43" s="1008"/>
      <c r="D43" s="886" t="e">
        <f>D34*$C21*D$16</f>
        <v>#REF!</v>
      </c>
      <c r="E43" s="991">
        <f t="shared" ref="E43:R43" si="71">E21*E34</f>
        <v>53852.204062657016</v>
      </c>
      <c r="F43" s="991">
        <f t="shared" si="71"/>
        <v>109669.50459511306</v>
      </c>
      <c r="G43" s="991">
        <f t="shared" si="71"/>
        <v>121086.25967867917</v>
      </c>
      <c r="H43" s="991">
        <f t="shared" si="71"/>
        <v>140477.58753465442</v>
      </c>
      <c r="I43" s="991">
        <f t="shared" si="71"/>
        <v>157940.11328759082</v>
      </c>
      <c r="J43" s="991">
        <f t="shared" si="71"/>
        <v>177098.07859683537</v>
      </c>
      <c r="K43" s="991">
        <f t="shared" si="71"/>
        <v>191160.71812117108</v>
      </c>
      <c r="L43" s="991">
        <f t="shared" si="71"/>
        <v>205574.81356642608</v>
      </c>
      <c r="M43" s="991">
        <f t="shared" si="71"/>
        <v>220724.7144962264</v>
      </c>
      <c r="N43" s="991">
        <f t="shared" si="71"/>
        <v>237390.45569315666</v>
      </c>
      <c r="O43" s="991">
        <f t="shared" si="71"/>
        <v>259409.35890976872</v>
      </c>
      <c r="P43" s="991">
        <f t="shared" si="71"/>
        <v>276615.66917037935</v>
      </c>
      <c r="Q43" s="991">
        <f t="shared" si="71"/>
        <v>294186.33978097135</v>
      </c>
      <c r="R43" s="991">
        <f t="shared" si="71"/>
        <v>294186.33978097135</v>
      </c>
      <c r="S43" s="991">
        <f t="shared" ref="S43:X43" si="72">S21*S34</f>
        <v>294186.33978097135</v>
      </c>
      <c r="T43" s="991">
        <f t="shared" si="72"/>
        <v>294186.33978097135</v>
      </c>
      <c r="U43" s="991">
        <f t="shared" si="72"/>
        <v>294186.33978097135</v>
      </c>
      <c r="V43" s="991">
        <f t="shared" si="72"/>
        <v>294186.33978097135</v>
      </c>
      <c r="W43" s="991">
        <f t="shared" si="72"/>
        <v>294186.33978097135</v>
      </c>
      <c r="X43" s="991">
        <f t="shared" si="72"/>
        <v>294186.33978097135</v>
      </c>
      <c r="Y43" s="1035">
        <f t="shared" si="64"/>
        <v>4504490.1959604295</v>
      </c>
      <c r="Z43" s="1036">
        <f t="shared" si="65"/>
        <v>2840018.3557439824</v>
      </c>
    </row>
    <row r="44" spans="2:29" x14ac:dyDescent="0.15">
      <c r="B44" s="1055" t="str">
        <f t="shared" si="68"/>
        <v>South Salt Lake Valley Mosquito Abatement District</v>
      </c>
      <c r="C44" s="1008"/>
      <c r="D44" s="886" t="e">
        <f>D35*$C22*D$16</f>
        <v>#REF!</v>
      </c>
      <c r="E44" s="991">
        <f t="shared" ref="E44:R44" si="73">E22*E35</f>
        <v>401.4826346619559</v>
      </c>
      <c r="F44" s="991">
        <f t="shared" si="73"/>
        <v>817.6155909178409</v>
      </c>
      <c r="G44" s="991">
        <f t="shared" si="73"/>
        <v>902.73056420486466</v>
      </c>
      <c r="H44" s="991">
        <f t="shared" si="73"/>
        <v>1047.2981178030898</v>
      </c>
      <c r="I44" s="991">
        <f t="shared" si="73"/>
        <v>1177.4859340526154</v>
      </c>
      <c r="J44" s="991">
        <f t="shared" si="73"/>
        <v>1320.3137072328682</v>
      </c>
      <c r="K44" s="991">
        <f t="shared" si="73"/>
        <v>1425.15445915386</v>
      </c>
      <c r="L44" s="991">
        <f t="shared" si="73"/>
        <v>1532.615409292441</v>
      </c>
      <c r="M44" s="991">
        <f t="shared" si="73"/>
        <v>1645.5619868008926</v>
      </c>
      <c r="N44" s="991">
        <f t="shared" si="73"/>
        <v>1769.8095603366555</v>
      </c>
      <c r="O44" s="991">
        <f t="shared" si="73"/>
        <v>1933.9663934624907</v>
      </c>
      <c r="P44" s="991">
        <f t="shared" si="73"/>
        <v>2062.2440544511387</v>
      </c>
      <c r="Q44" s="991">
        <f t="shared" si="73"/>
        <v>2193.2381196394485</v>
      </c>
      <c r="R44" s="991">
        <f t="shared" si="73"/>
        <v>2193.2381196394485</v>
      </c>
      <c r="S44" s="991">
        <f t="shared" ref="S44:X44" si="74">S22*S35</f>
        <v>2193.2381196394485</v>
      </c>
      <c r="T44" s="991">
        <f t="shared" si="74"/>
        <v>2193.2381196394485</v>
      </c>
      <c r="U44" s="991">
        <f t="shared" si="74"/>
        <v>2193.2381196394485</v>
      </c>
      <c r="V44" s="991">
        <f t="shared" si="74"/>
        <v>2193.2381196394485</v>
      </c>
      <c r="W44" s="991">
        <f t="shared" si="74"/>
        <v>2193.2381196394485</v>
      </c>
      <c r="X44" s="991">
        <f t="shared" si="74"/>
        <v>2193.2381196394485</v>
      </c>
      <c r="Y44" s="1035">
        <f t="shared" si="64"/>
        <v>33582.183369486302</v>
      </c>
      <c r="Z44" s="1036">
        <f t="shared" si="65"/>
        <v>21173.099073638045</v>
      </c>
    </row>
    <row r="45" spans="2:29" x14ac:dyDescent="0.15">
      <c r="B45" s="1055" t="str">
        <f t="shared" si="68"/>
        <v>Mt. Olympus Improvement District</v>
      </c>
      <c r="C45" s="1008"/>
      <c r="D45" s="886" t="e">
        <f>D36*$C23*D$16</f>
        <v>#REF!</v>
      </c>
      <c r="E45" s="991">
        <f t="shared" ref="E45:R45" si="75">E23*E36</f>
        <v>7467.5770047123797</v>
      </c>
      <c r="F45" s="991">
        <f t="shared" si="75"/>
        <v>15207.649991071841</v>
      </c>
      <c r="G45" s="991">
        <f t="shared" si="75"/>
        <v>16790.788494210483</v>
      </c>
      <c r="H45" s="991">
        <f t="shared" si="75"/>
        <v>19479.744991137468</v>
      </c>
      <c r="I45" s="991">
        <f t="shared" si="75"/>
        <v>21901.238373378648</v>
      </c>
      <c r="J45" s="991">
        <f t="shared" si="75"/>
        <v>24557.834954531347</v>
      </c>
      <c r="K45" s="991">
        <f t="shared" si="75"/>
        <v>26507.872940261797</v>
      </c>
      <c r="L45" s="991">
        <f t="shared" si="75"/>
        <v>28506.646612839402</v>
      </c>
      <c r="M45" s="991">
        <f t="shared" si="75"/>
        <v>30607.452954496603</v>
      </c>
      <c r="N45" s="991">
        <f t="shared" si="75"/>
        <v>32918.457822261786</v>
      </c>
      <c r="O45" s="991">
        <f t="shared" si="75"/>
        <v>35971.774918402327</v>
      </c>
      <c r="P45" s="991">
        <f t="shared" si="75"/>
        <v>38357.739412791176</v>
      </c>
      <c r="Q45" s="991">
        <f t="shared" si="75"/>
        <v>40794.229025293753</v>
      </c>
      <c r="R45" s="991">
        <f t="shared" si="75"/>
        <v>40794.229025293753</v>
      </c>
      <c r="S45" s="991">
        <f t="shared" ref="S45:X45" si="76">S23*S36</f>
        <v>40794.229025293753</v>
      </c>
      <c r="T45" s="991">
        <f t="shared" si="76"/>
        <v>40794.229025293753</v>
      </c>
      <c r="U45" s="991">
        <f t="shared" si="76"/>
        <v>40794.229025293753</v>
      </c>
      <c r="V45" s="991">
        <f t="shared" si="76"/>
        <v>40794.229025293753</v>
      </c>
      <c r="W45" s="991">
        <f t="shared" si="76"/>
        <v>40794.229025293753</v>
      </c>
      <c r="X45" s="991">
        <f t="shared" si="76"/>
        <v>40794.229025293753</v>
      </c>
      <c r="Y45" s="1035">
        <f t="shared" si="64"/>
        <v>624628.61067244504</v>
      </c>
      <c r="Z45" s="1036">
        <f t="shared" si="65"/>
        <v>393819.64276966761</v>
      </c>
    </row>
    <row r="46" spans="2:29" x14ac:dyDescent="0.15">
      <c r="B46" s="1055" t="str">
        <f t="shared" si="68"/>
        <v>Central Utah Water Conservancy District</v>
      </c>
      <c r="C46" s="1008"/>
      <c r="D46" s="886" t="e">
        <f>D37*$C23*D$16</f>
        <v>#REF!</v>
      </c>
      <c r="E46" s="991">
        <f t="shared" ref="E46:R46" si="77">E24*E37</f>
        <v>10706.203590985489</v>
      </c>
      <c r="F46" s="991">
        <f t="shared" si="77"/>
        <v>21803.082424475757</v>
      </c>
      <c r="G46" s="991">
        <f t="shared" si="77"/>
        <v>24072.81504546306</v>
      </c>
      <c r="H46" s="991">
        <f t="shared" si="77"/>
        <v>27927.949808082394</v>
      </c>
      <c r="I46" s="991">
        <f t="shared" si="77"/>
        <v>31399.624908069749</v>
      </c>
      <c r="J46" s="991">
        <f t="shared" si="77"/>
        <v>35208.365526209811</v>
      </c>
      <c r="K46" s="991">
        <f t="shared" si="77"/>
        <v>38004.118910769605</v>
      </c>
      <c r="L46" s="991">
        <f t="shared" si="77"/>
        <v>40869.74424779843</v>
      </c>
      <c r="M46" s="991">
        <f t="shared" si="77"/>
        <v>43881.65298135714</v>
      </c>
      <c r="N46" s="991">
        <f t="shared" si="77"/>
        <v>47194.921608977478</v>
      </c>
      <c r="O46" s="991">
        <f t="shared" si="77"/>
        <v>51572.437158999754</v>
      </c>
      <c r="P46" s="991">
        <f t="shared" si="77"/>
        <v>54993.174785363699</v>
      </c>
      <c r="Q46" s="991">
        <f t="shared" si="77"/>
        <v>58486.349857051966</v>
      </c>
      <c r="R46" s="991">
        <f t="shared" si="77"/>
        <v>58486.349857051966</v>
      </c>
      <c r="S46" s="991">
        <f t="shared" ref="S46:X46" si="78">S24*S37</f>
        <v>58486.349857051966</v>
      </c>
      <c r="T46" s="991">
        <f t="shared" si="78"/>
        <v>58486.349857051966</v>
      </c>
      <c r="U46" s="991">
        <f t="shared" si="78"/>
        <v>58486.349857051966</v>
      </c>
      <c r="V46" s="991">
        <f t="shared" si="78"/>
        <v>58486.349857051966</v>
      </c>
      <c r="W46" s="991">
        <f t="shared" si="78"/>
        <v>58486.349857051966</v>
      </c>
      <c r="X46" s="991">
        <f t="shared" si="78"/>
        <v>58486.349857051966</v>
      </c>
      <c r="Y46" s="1035">
        <f t="shared" si="64"/>
        <v>895524.88985296816</v>
      </c>
      <c r="Z46" s="1036">
        <f t="shared" si="65"/>
        <v>564615.97529701458</v>
      </c>
      <c r="AC46" s="600"/>
    </row>
    <row r="47" spans="2:29" x14ac:dyDescent="0.15">
      <c r="B47" s="1055" t="str">
        <f t="shared" si="68"/>
        <v>Unified Fire Service Area</v>
      </c>
      <c r="C47" s="1008"/>
      <c r="D47" s="886" t="e">
        <f>D38*$C25*D$16</f>
        <v>#REF!</v>
      </c>
      <c r="E47" s="991">
        <f t="shared" ref="E47:R47" si="79">E25*E38</f>
        <v>49730.315680127598</v>
      </c>
      <c r="F47" s="991">
        <f t="shared" si="79"/>
        <v>101275.31786168989</v>
      </c>
      <c r="G47" s="991">
        <f t="shared" si="79"/>
        <v>111818.2258861759</v>
      </c>
      <c r="H47" s="991">
        <f t="shared" si="79"/>
        <v>129725.3268585427</v>
      </c>
      <c r="I47" s="991">
        <f t="shared" si="79"/>
        <v>145851.25769798397</v>
      </c>
      <c r="J47" s="991">
        <f t="shared" si="79"/>
        <v>163542.85786924459</v>
      </c>
      <c r="K47" s="991">
        <f t="shared" si="79"/>
        <v>176529.13234052481</v>
      </c>
      <c r="L47" s="991">
        <f t="shared" si="79"/>
        <v>189839.96203102369</v>
      </c>
      <c r="M47" s="991">
        <f t="shared" si="79"/>
        <v>203830.27809840391</v>
      </c>
      <c r="N47" s="991">
        <f t="shared" si="79"/>
        <v>219220.41087370037</v>
      </c>
      <c r="O47" s="991">
        <f t="shared" si="79"/>
        <v>239553.97060355387</v>
      </c>
      <c r="P47" s="991">
        <f t="shared" si="79"/>
        <v>255443.29687801437</v>
      </c>
      <c r="Q47" s="991">
        <f t="shared" si="79"/>
        <v>271669.09508600639</v>
      </c>
      <c r="R47" s="991">
        <f t="shared" si="79"/>
        <v>271669.09508600639</v>
      </c>
      <c r="S47" s="991">
        <f t="shared" ref="S47:X47" si="80">S25*S38</f>
        <v>271669.09508600639</v>
      </c>
      <c r="T47" s="991">
        <f t="shared" si="80"/>
        <v>271669.09508600639</v>
      </c>
      <c r="U47" s="991">
        <f t="shared" si="80"/>
        <v>271669.09508600639</v>
      </c>
      <c r="V47" s="991">
        <f t="shared" si="80"/>
        <v>271669.09508600639</v>
      </c>
      <c r="W47" s="991">
        <f t="shared" si="80"/>
        <v>271669.09508600639</v>
      </c>
      <c r="X47" s="991">
        <f t="shared" si="80"/>
        <v>271669.09508600639</v>
      </c>
      <c r="Y47" s="1035">
        <f t="shared" si="64"/>
        <v>4159713.1133670374</v>
      </c>
      <c r="Z47" s="1036">
        <f t="shared" si="65"/>
        <v>2622641.2052546316</v>
      </c>
      <c r="AC47" s="600"/>
    </row>
    <row r="48" spans="2:29" x14ac:dyDescent="0.15">
      <c r="B48" s="1037" t="s">
        <v>8</v>
      </c>
      <c r="C48" s="1038"/>
      <c r="D48" s="1039" t="e">
        <f t="shared" ref="D48:Z48" si="81">SUM(D40:D47)</f>
        <v>#REF!</v>
      </c>
      <c r="E48" s="1039">
        <f t="shared" si="81"/>
        <v>396357.03969277156</v>
      </c>
      <c r="F48" s="1039">
        <f t="shared" si="81"/>
        <v>807177.36520712334</v>
      </c>
      <c r="G48" s="1039">
        <f t="shared" si="81"/>
        <v>891205.70400184917</v>
      </c>
      <c r="H48" s="1039">
        <f t="shared" si="81"/>
        <v>1033927.6118324702</v>
      </c>
      <c r="I48" s="1039">
        <f t="shared" si="81"/>
        <v>1162453.3636278771</v>
      </c>
      <c r="J48" s="1039">
        <f t="shared" si="81"/>
        <v>1303457.7022371951</v>
      </c>
      <c r="K48" s="1039">
        <f t="shared" si="81"/>
        <v>1406959.987225329</v>
      </c>
      <c r="L48" s="1039">
        <f t="shared" si="81"/>
        <v>1513049.0192338075</v>
      </c>
      <c r="M48" s="1039">
        <f t="shared" si="81"/>
        <v>1624553.6454360681</v>
      </c>
      <c r="N48" s="1039">
        <f t="shared" si="81"/>
        <v>1747214.9916163576</v>
      </c>
      <c r="O48" s="1039">
        <f t="shared" si="81"/>
        <v>1909276.0891726194</v>
      </c>
      <c r="P48" s="1039">
        <f t="shared" si="81"/>
        <v>2035916.072022646</v>
      </c>
      <c r="Q48" s="1039">
        <f t="shared" si="81"/>
        <v>2165237.7796453852</v>
      </c>
      <c r="R48" s="1039">
        <f t="shared" si="81"/>
        <v>2165237.7796453852</v>
      </c>
      <c r="S48" s="1039">
        <f t="shared" ref="S48:X48" si="82">SUM(S40:S47)</f>
        <v>2165237.7796453852</v>
      </c>
      <c r="T48" s="1039">
        <f t="shared" si="82"/>
        <v>2165237.7796453852</v>
      </c>
      <c r="U48" s="1039">
        <f t="shared" si="82"/>
        <v>2165237.7796453852</v>
      </c>
      <c r="V48" s="1039">
        <f t="shared" si="82"/>
        <v>2165237.7796453852</v>
      </c>
      <c r="W48" s="1039">
        <f t="shared" si="82"/>
        <v>2165237.7796453852</v>
      </c>
      <c r="X48" s="1039">
        <f t="shared" si="82"/>
        <v>2165237.7796453852</v>
      </c>
      <c r="Y48" s="1040">
        <f t="shared" si="81"/>
        <v>33153450.828469194</v>
      </c>
      <c r="Z48" s="1041">
        <f t="shared" si="81"/>
        <v>20902789.1754646</v>
      </c>
    </row>
    <row r="49" spans="2:28" x14ac:dyDescent="0.15">
      <c r="B49" s="1021" t="s">
        <v>6</v>
      </c>
      <c r="C49" s="1022"/>
      <c r="D49" s="607">
        <f>D6</f>
        <v>2017</v>
      </c>
      <c r="E49" s="607">
        <f>E6</f>
        <v>2020</v>
      </c>
      <c r="F49" s="607">
        <f>F6</f>
        <v>2021</v>
      </c>
      <c r="G49" s="607">
        <f t="shared" ref="G49:R49" si="83">F49+1</f>
        <v>2022</v>
      </c>
      <c r="H49" s="607">
        <f t="shared" si="83"/>
        <v>2023</v>
      </c>
      <c r="I49" s="607">
        <f t="shared" si="83"/>
        <v>2024</v>
      </c>
      <c r="J49" s="607">
        <f t="shared" si="83"/>
        <v>2025</v>
      </c>
      <c r="K49" s="607">
        <f t="shared" si="83"/>
        <v>2026</v>
      </c>
      <c r="L49" s="607">
        <f t="shared" si="83"/>
        <v>2027</v>
      </c>
      <c r="M49" s="607">
        <f t="shared" si="83"/>
        <v>2028</v>
      </c>
      <c r="N49" s="607">
        <f t="shared" si="83"/>
        <v>2029</v>
      </c>
      <c r="O49" s="607">
        <f t="shared" si="83"/>
        <v>2030</v>
      </c>
      <c r="P49" s="607">
        <f t="shared" si="83"/>
        <v>2031</v>
      </c>
      <c r="Q49" s="607">
        <f t="shared" si="83"/>
        <v>2032</v>
      </c>
      <c r="R49" s="607">
        <f t="shared" si="83"/>
        <v>2033</v>
      </c>
      <c r="S49" s="607">
        <f t="shared" ref="S49" si="84">R49+1</f>
        <v>2034</v>
      </c>
      <c r="T49" s="607">
        <f t="shared" ref="T49" si="85">S49+1</f>
        <v>2035</v>
      </c>
      <c r="U49" s="607">
        <f t="shared" ref="U49" si="86">T49+1</f>
        <v>2036</v>
      </c>
      <c r="V49" s="607">
        <f t="shared" ref="V49" si="87">U49+1</f>
        <v>2037</v>
      </c>
      <c r="W49" s="607">
        <f t="shared" ref="W49" si="88">V49+1</f>
        <v>2038</v>
      </c>
      <c r="X49" s="607">
        <f t="shared" ref="X49" si="89">W49+1</f>
        <v>2039</v>
      </c>
      <c r="Y49" s="631" t="s">
        <v>5</v>
      </c>
      <c r="Z49" s="1032" t="s">
        <v>15</v>
      </c>
    </row>
    <row r="50" spans="2:28" ht="12" customHeight="1" x14ac:dyDescent="0.15">
      <c r="B50" s="1056" t="s">
        <v>1458</v>
      </c>
      <c r="C50" s="1009">
        <v>0.8</v>
      </c>
      <c r="D50" s="886">
        <v>0</v>
      </c>
      <c r="E50" s="886">
        <f>E48*$C$50</f>
        <v>317085.63175421726</v>
      </c>
      <c r="F50" s="886">
        <f t="shared" ref="F50:R50" si="90">F48*$C$50</f>
        <v>645741.89216569869</v>
      </c>
      <c r="G50" s="886">
        <f t="shared" si="90"/>
        <v>712964.56320147938</v>
      </c>
      <c r="H50" s="886">
        <f t="shared" si="90"/>
        <v>827142.08946597623</v>
      </c>
      <c r="I50" s="886">
        <f t="shared" si="90"/>
        <v>929962.69090230169</v>
      </c>
      <c r="J50" s="886">
        <f t="shared" si="90"/>
        <v>1042766.1617897562</v>
      </c>
      <c r="K50" s="886">
        <f t="shared" si="90"/>
        <v>1125567.9897802633</v>
      </c>
      <c r="L50" s="886">
        <f t="shared" si="90"/>
        <v>1210439.2153870461</v>
      </c>
      <c r="M50" s="886">
        <f t="shared" si="90"/>
        <v>1299642.9163488545</v>
      </c>
      <c r="N50" s="886">
        <f t="shared" si="90"/>
        <v>1397771.9932930861</v>
      </c>
      <c r="O50" s="886">
        <f t="shared" si="90"/>
        <v>1527420.8713380955</v>
      </c>
      <c r="P50" s="886">
        <f t="shared" si="90"/>
        <v>1628732.8576181168</v>
      </c>
      <c r="Q50" s="886">
        <f t="shared" si="90"/>
        <v>1732190.2237163084</v>
      </c>
      <c r="R50" s="886">
        <f t="shared" si="90"/>
        <v>1732190.2237163084</v>
      </c>
      <c r="S50" s="886">
        <f t="shared" ref="S50:X50" si="91">S48*$C$50</f>
        <v>1732190.2237163084</v>
      </c>
      <c r="T50" s="886">
        <f t="shared" si="91"/>
        <v>1732190.2237163084</v>
      </c>
      <c r="U50" s="886">
        <f t="shared" si="91"/>
        <v>1732190.2237163084</v>
      </c>
      <c r="V50" s="886">
        <f t="shared" si="91"/>
        <v>1732190.2237163084</v>
      </c>
      <c r="W50" s="886">
        <f t="shared" si="91"/>
        <v>1732190.2237163084</v>
      </c>
      <c r="X50" s="886">
        <f t="shared" si="91"/>
        <v>1732190.2237163084</v>
      </c>
      <c r="Y50" s="1033">
        <f>SUM(E50:X50)</f>
        <v>26522760.662775353</v>
      </c>
      <c r="Z50" s="1034">
        <f>NPV($I$2,E50:X50)</f>
        <v>16722231.340371678</v>
      </c>
      <c r="AA50" s="595"/>
      <c r="AB50" s="600"/>
    </row>
    <row r="51" spans="2:28" ht="12" customHeight="1" x14ac:dyDescent="0.15">
      <c r="B51" s="1056" t="s">
        <v>1459</v>
      </c>
      <c r="C51" s="1009">
        <v>0.15</v>
      </c>
      <c r="D51" s="886"/>
      <c r="E51" s="886">
        <f>E48*0.15</f>
        <v>59453.555953915733</v>
      </c>
      <c r="F51" s="886">
        <f t="shared" ref="F51:X51" si="92">F48*0.15</f>
        <v>121076.6047810685</v>
      </c>
      <c r="G51" s="886">
        <f t="shared" si="92"/>
        <v>133680.85560027737</v>
      </c>
      <c r="H51" s="886">
        <f t="shared" si="92"/>
        <v>155089.14177487051</v>
      </c>
      <c r="I51" s="886">
        <f t="shared" si="92"/>
        <v>174368.00454418155</v>
      </c>
      <c r="J51" s="886">
        <f t="shared" si="92"/>
        <v>195518.65533557927</v>
      </c>
      <c r="K51" s="886">
        <f t="shared" si="92"/>
        <v>211043.99808379935</v>
      </c>
      <c r="L51" s="886">
        <f t="shared" si="92"/>
        <v>226957.3528850711</v>
      </c>
      <c r="M51" s="886">
        <f t="shared" si="92"/>
        <v>243683.0468154102</v>
      </c>
      <c r="N51" s="886">
        <f t="shared" si="92"/>
        <v>262082.24874245364</v>
      </c>
      <c r="O51" s="886">
        <f t="shared" si="92"/>
        <v>286391.41337589291</v>
      </c>
      <c r="P51" s="886">
        <f t="shared" si="92"/>
        <v>305387.4108033969</v>
      </c>
      <c r="Q51" s="886">
        <f t="shared" si="92"/>
        <v>324785.66694680776</v>
      </c>
      <c r="R51" s="886">
        <f t="shared" si="92"/>
        <v>324785.66694680776</v>
      </c>
      <c r="S51" s="886">
        <f t="shared" si="92"/>
        <v>324785.66694680776</v>
      </c>
      <c r="T51" s="886">
        <f t="shared" si="92"/>
        <v>324785.66694680776</v>
      </c>
      <c r="U51" s="886">
        <f t="shared" si="92"/>
        <v>324785.66694680776</v>
      </c>
      <c r="V51" s="886">
        <f t="shared" si="92"/>
        <v>324785.66694680776</v>
      </c>
      <c r="W51" s="886">
        <f t="shared" si="92"/>
        <v>324785.66694680776</v>
      </c>
      <c r="X51" s="886">
        <f t="shared" si="92"/>
        <v>324785.66694680776</v>
      </c>
      <c r="Y51" s="1033">
        <f>SUM(E51:X51)</f>
        <v>4973017.6242703805</v>
      </c>
      <c r="Z51" s="1034">
        <f>NPV($I$2,E51:X51)</f>
        <v>3135418.3763196892</v>
      </c>
      <c r="AA51" s="595"/>
      <c r="AB51" s="600"/>
    </row>
    <row r="52" spans="2:28" ht="13.5" customHeight="1" x14ac:dyDescent="0.15">
      <c r="B52" s="1055" t="s">
        <v>1389</v>
      </c>
      <c r="C52" s="1009">
        <v>0.05</v>
      </c>
      <c r="D52" s="886">
        <v>0</v>
      </c>
      <c r="E52" s="886">
        <f t="shared" ref="E52:R52" si="93">E48*$C$52</f>
        <v>19817.851984638579</v>
      </c>
      <c r="F52" s="886">
        <f t="shared" si="93"/>
        <v>40358.868260356168</v>
      </c>
      <c r="G52" s="886">
        <f t="shared" si="93"/>
        <v>44560.285200092461</v>
      </c>
      <c r="H52" s="886">
        <f t="shared" si="93"/>
        <v>51696.380591623514</v>
      </c>
      <c r="I52" s="886">
        <f t="shared" si="93"/>
        <v>58122.668181393856</v>
      </c>
      <c r="J52" s="886">
        <f t="shared" si="93"/>
        <v>65172.885111859759</v>
      </c>
      <c r="K52" s="886">
        <f t="shared" si="93"/>
        <v>70347.999361266455</v>
      </c>
      <c r="L52" s="886">
        <f t="shared" si="93"/>
        <v>75652.450961690382</v>
      </c>
      <c r="M52" s="886">
        <f t="shared" si="93"/>
        <v>81227.682271803409</v>
      </c>
      <c r="N52" s="886">
        <f t="shared" si="93"/>
        <v>87360.749580817879</v>
      </c>
      <c r="O52" s="886">
        <f t="shared" si="93"/>
        <v>95463.80445863097</v>
      </c>
      <c r="P52" s="886">
        <f t="shared" si="93"/>
        <v>101795.8036011323</v>
      </c>
      <c r="Q52" s="886">
        <f t="shared" si="93"/>
        <v>108261.88898226927</v>
      </c>
      <c r="R52" s="886">
        <f t="shared" si="93"/>
        <v>108261.88898226927</v>
      </c>
      <c r="S52" s="886">
        <f t="shared" ref="S52:X52" si="94">S48*$C$52</f>
        <v>108261.88898226927</v>
      </c>
      <c r="T52" s="886">
        <f t="shared" si="94"/>
        <v>108261.88898226927</v>
      </c>
      <c r="U52" s="886">
        <f t="shared" si="94"/>
        <v>108261.88898226927</v>
      </c>
      <c r="V52" s="886">
        <f t="shared" si="94"/>
        <v>108261.88898226927</v>
      </c>
      <c r="W52" s="886">
        <f t="shared" si="94"/>
        <v>108261.88898226927</v>
      </c>
      <c r="X52" s="886">
        <f t="shared" si="94"/>
        <v>108261.88898226927</v>
      </c>
      <c r="Y52" s="1033">
        <f>SUM(E52:X52)</f>
        <v>1657672.5414234595</v>
      </c>
      <c r="Z52" s="1034">
        <f>NPV($I$2,E52:X52)</f>
        <v>1045139.4587732299</v>
      </c>
    </row>
    <row r="53" spans="2:28" x14ac:dyDescent="0.15">
      <c r="B53" s="1037" t="s">
        <v>25</v>
      </c>
      <c r="C53" s="1038"/>
      <c r="D53" s="1070">
        <f t="shared" ref="D53:R53" si="95">SUM(D50:D52)</f>
        <v>0</v>
      </c>
      <c r="E53" s="1070">
        <f t="shared" si="95"/>
        <v>396357.03969277162</v>
      </c>
      <c r="F53" s="1070">
        <f t="shared" si="95"/>
        <v>807177.36520712334</v>
      </c>
      <c r="G53" s="1070">
        <f t="shared" si="95"/>
        <v>891205.70400184928</v>
      </c>
      <c r="H53" s="1070">
        <f t="shared" si="95"/>
        <v>1033927.6118324702</v>
      </c>
      <c r="I53" s="1070">
        <f t="shared" si="95"/>
        <v>1162453.3636278771</v>
      </c>
      <c r="J53" s="1070">
        <f t="shared" si="95"/>
        <v>1303457.7022371951</v>
      </c>
      <c r="K53" s="1070">
        <f t="shared" si="95"/>
        <v>1406959.987225329</v>
      </c>
      <c r="L53" s="1070">
        <f t="shared" si="95"/>
        <v>1513049.0192338077</v>
      </c>
      <c r="M53" s="1070">
        <f t="shared" si="95"/>
        <v>1624553.6454360683</v>
      </c>
      <c r="N53" s="1070">
        <f t="shared" si="95"/>
        <v>1747214.9916163576</v>
      </c>
      <c r="O53" s="1070">
        <f t="shared" si="95"/>
        <v>1909276.0891726194</v>
      </c>
      <c r="P53" s="1070">
        <f t="shared" si="95"/>
        <v>2035916.072022646</v>
      </c>
      <c r="Q53" s="1070">
        <f t="shared" si="95"/>
        <v>2165237.7796453857</v>
      </c>
      <c r="R53" s="1070">
        <f t="shared" si="95"/>
        <v>2165237.7796453857</v>
      </c>
      <c r="S53" s="1070">
        <f t="shared" ref="S53:X53" si="96">SUM(S50:S52)</f>
        <v>2165237.7796453857</v>
      </c>
      <c r="T53" s="1070">
        <f t="shared" si="96"/>
        <v>2165237.7796453857</v>
      </c>
      <c r="U53" s="1070">
        <f t="shared" si="96"/>
        <v>2165237.7796453857</v>
      </c>
      <c r="V53" s="1070">
        <f t="shared" si="96"/>
        <v>2165237.7796453857</v>
      </c>
      <c r="W53" s="1070">
        <f t="shared" si="96"/>
        <v>2165237.7796453857</v>
      </c>
      <c r="X53" s="1070">
        <f t="shared" si="96"/>
        <v>2165237.7796453857</v>
      </c>
      <c r="Y53" s="1074">
        <f>SUM(E53:X53)</f>
        <v>33153450.828469213</v>
      </c>
      <c r="Z53" s="1071">
        <f>NPV($I$2,E53:X53)</f>
        <v>20902789.175464604</v>
      </c>
    </row>
    <row r="54" spans="2:28" x14ac:dyDescent="0.15">
      <c r="B54" s="856" t="s">
        <v>1259</v>
      </c>
      <c r="C54" s="1022"/>
      <c r="D54" s="607">
        <f>D6</f>
        <v>2017</v>
      </c>
      <c r="E54" s="607">
        <f>E6</f>
        <v>2020</v>
      </c>
      <c r="F54" s="607">
        <f>F6</f>
        <v>2021</v>
      </c>
      <c r="G54" s="607">
        <f t="shared" ref="G54:R54" si="97">F54+1</f>
        <v>2022</v>
      </c>
      <c r="H54" s="607">
        <f t="shared" si="97"/>
        <v>2023</v>
      </c>
      <c r="I54" s="607">
        <f t="shared" si="97"/>
        <v>2024</v>
      </c>
      <c r="J54" s="607">
        <f t="shared" si="97"/>
        <v>2025</v>
      </c>
      <c r="K54" s="607">
        <f t="shared" si="97"/>
        <v>2026</v>
      </c>
      <c r="L54" s="607">
        <f t="shared" si="97"/>
        <v>2027</v>
      </c>
      <c r="M54" s="607">
        <f t="shared" si="97"/>
        <v>2028</v>
      </c>
      <c r="N54" s="607">
        <f t="shared" si="97"/>
        <v>2029</v>
      </c>
      <c r="O54" s="607">
        <f t="shared" si="97"/>
        <v>2030</v>
      </c>
      <c r="P54" s="607">
        <f t="shared" si="97"/>
        <v>2031</v>
      </c>
      <c r="Q54" s="607">
        <f t="shared" si="97"/>
        <v>2032</v>
      </c>
      <c r="R54" s="607">
        <f t="shared" si="97"/>
        <v>2033</v>
      </c>
      <c r="S54" s="607">
        <f t="shared" ref="S54" si="98">R54+1</f>
        <v>2034</v>
      </c>
      <c r="T54" s="607">
        <f t="shared" ref="T54" si="99">S54+1</f>
        <v>2035</v>
      </c>
      <c r="U54" s="607">
        <f t="shared" ref="U54" si="100">T54+1</f>
        <v>2036</v>
      </c>
      <c r="V54" s="607">
        <f t="shared" ref="V54" si="101">U54+1</f>
        <v>2037</v>
      </c>
      <c r="W54" s="607">
        <f t="shared" ref="W54" si="102">V54+1</f>
        <v>2038</v>
      </c>
      <c r="X54" s="607">
        <f t="shared" ref="X54" si="103">W54+1</f>
        <v>2039</v>
      </c>
      <c r="Y54" s="631" t="s">
        <v>5</v>
      </c>
      <c r="Z54" s="1032" t="s">
        <v>15</v>
      </c>
    </row>
    <row r="55" spans="2:28" x14ac:dyDescent="0.15">
      <c r="B55" s="1055" t="str">
        <f>B40</f>
        <v>Salt Lake County</v>
      </c>
      <c r="C55" s="1008"/>
      <c r="D55" s="595" t="e">
        <f t="shared" ref="D55:R55" si="104">D18-D40</f>
        <v>#REF!</v>
      </c>
      <c r="E55" s="595">
        <f t="shared" si="104"/>
        <v>16937.548649801261</v>
      </c>
      <c r="F55" s="595">
        <f t="shared" si="104"/>
        <v>34493.1577418464</v>
      </c>
      <c r="G55" s="595">
        <f t="shared" si="104"/>
        <v>38083.945677392723</v>
      </c>
      <c r="H55" s="595">
        <f t="shared" si="104"/>
        <v>44182.889344817842</v>
      </c>
      <c r="I55" s="595">
        <f t="shared" si="104"/>
        <v>49675.187842844694</v>
      </c>
      <c r="J55" s="595">
        <f t="shared" si="104"/>
        <v>55700.734523886611</v>
      </c>
      <c r="K55" s="595">
        <f t="shared" si="104"/>
        <v>60123.703745553445</v>
      </c>
      <c r="L55" s="595">
        <f t="shared" si="104"/>
        <v>64657.212579524843</v>
      </c>
      <c r="M55" s="595">
        <f t="shared" si="104"/>
        <v>69422.146318162646</v>
      </c>
      <c r="N55" s="595">
        <f t="shared" si="104"/>
        <v>74663.840826702653</v>
      </c>
      <c r="O55" s="595">
        <f t="shared" si="104"/>
        <v>81589.207224198821</v>
      </c>
      <c r="P55" s="595">
        <f t="shared" si="104"/>
        <v>87000.921047157404</v>
      </c>
      <c r="Q55" s="595">
        <f t="shared" si="104"/>
        <v>92527.233172289212</v>
      </c>
      <c r="R55" s="595">
        <f t="shared" si="104"/>
        <v>92527.233172289212</v>
      </c>
      <c r="S55" s="595">
        <f t="shared" ref="S55:X55" si="105">S18-S40</f>
        <v>92527.233172289212</v>
      </c>
      <c r="T55" s="595">
        <f t="shared" si="105"/>
        <v>92527.233172289212</v>
      </c>
      <c r="U55" s="595">
        <f t="shared" si="105"/>
        <v>92527.233172289212</v>
      </c>
      <c r="V55" s="595">
        <f t="shared" si="105"/>
        <v>92527.233172289212</v>
      </c>
      <c r="W55" s="595">
        <f t="shared" si="105"/>
        <v>92527.233172289212</v>
      </c>
      <c r="X55" s="595">
        <f t="shared" si="105"/>
        <v>92527.233172289212</v>
      </c>
      <c r="Y55" s="1035">
        <f t="shared" ref="Y55:Y62" si="106">SUM(E55:X55)</f>
        <v>1416748.3609002028</v>
      </c>
      <c r="Z55" s="1036">
        <f t="shared" ref="Z55:Z62" si="107">NPV($I$2,E55:X55)</f>
        <v>893240.11716910463</v>
      </c>
    </row>
    <row r="56" spans="2:28" x14ac:dyDescent="0.15">
      <c r="B56" s="1055" t="str">
        <f>B41</f>
        <v>Salt Lake County Library</v>
      </c>
      <c r="C56" s="1008"/>
      <c r="D56" s="595"/>
      <c r="E56" s="595">
        <f t="shared" ref="E56:R56" si="108">E19-E41</f>
        <v>4675.5998495006934</v>
      </c>
      <c r="F56" s="595">
        <f t="shared" si="108"/>
        <v>9521.8149025640232</v>
      </c>
      <c r="G56" s="595">
        <f t="shared" si="108"/>
        <v>10513.049695635818</v>
      </c>
      <c r="H56" s="595">
        <f t="shared" si="108"/>
        <v>12196.659330248483</v>
      </c>
      <c r="I56" s="595">
        <f t="shared" si="108"/>
        <v>13712.804940321083</v>
      </c>
      <c r="J56" s="595">
        <f t="shared" si="108"/>
        <v>15376.153382149445</v>
      </c>
      <c r="K56" s="595">
        <f t="shared" si="108"/>
        <v>16597.111305562663</v>
      </c>
      <c r="L56" s="595">
        <f t="shared" si="108"/>
        <v>17848.583620718215</v>
      </c>
      <c r="M56" s="595">
        <f t="shared" si="108"/>
        <v>19163.940637952066</v>
      </c>
      <c r="N56" s="595">
        <f t="shared" si="108"/>
        <v>20610.907171420629</v>
      </c>
      <c r="O56" s="595">
        <f t="shared" si="108"/>
        <v>22522.650290531921</v>
      </c>
      <c r="P56" s="595">
        <f t="shared" si="108"/>
        <v>24016.550550795553</v>
      </c>
      <c r="Q56" s="595">
        <f t="shared" si="108"/>
        <v>25542.085601634419</v>
      </c>
      <c r="R56" s="595">
        <f t="shared" si="108"/>
        <v>25542.085601634419</v>
      </c>
      <c r="S56" s="595">
        <f t="shared" ref="S56:X56" si="109">S19-S41</f>
        <v>25542.085601634419</v>
      </c>
      <c r="T56" s="595">
        <f t="shared" si="109"/>
        <v>25542.085601634419</v>
      </c>
      <c r="U56" s="595">
        <f t="shared" si="109"/>
        <v>25542.085601634419</v>
      </c>
      <c r="V56" s="595">
        <f t="shared" si="109"/>
        <v>25542.085601634419</v>
      </c>
      <c r="W56" s="595">
        <f t="shared" si="109"/>
        <v>25542.085601634419</v>
      </c>
      <c r="X56" s="595">
        <f t="shared" si="109"/>
        <v>25542.085601634419</v>
      </c>
      <c r="Y56" s="1035">
        <f t="shared" si="106"/>
        <v>391092.5104904758</v>
      </c>
      <c r="Z56" s="1036">
        <f t="shared" si="107"/>
        <v>246578.38296174305</v>
      </c>
    </row>
    <row r="57" spans="2:28" x14ac:dyDescent="0.15">
      <c r="B57" s="1055" t="str">
        <f t="shared" ref="B57:B62" si="110">B42</f>
        <v>Granite School District</v>
      </c>
      <c r="C57" s="1008"/>
      <c r="D57" s="595" t="e">
        <f>D20-D42</f>
        <v>#REF!</v>
      </c>
      <c r="E57" s="595">
        <f t="shared" ref="E57:R57" si="111">E20-E42</f>
        <v>52339.952805430308</v>
      </c>
      <c r="F57" s="595">
        <f t="shared" si="111"/>
        <v>106589.81920265581</v>
      </c>
      <c r="G57" s="595">
        <f t="shared" si="111"/>
        <v>117685.97455350752</v>
      </c>
      <c r="H57" s="595">
        <f t="shared" si="111"/>
        <v>136532.76462426281</v>
      </c>
      <c r="I57" s="595">
        <f t="shared" si="111"/>
        <v>153504.916269326</v>
      </c>
      <c r="J57" s="595">
        <f t="shared" si="111"/>
        <v>172124.89696625818</v>
      </c>
      <c r="K57" s="595">
        <f t="shared" si="111"/>
        <v>185792.63632502488</v>
      </c>
      <c r="L57" s="595">
        <f t="shared" si="111"/>
        <v>199801.96219142457</v>
      </c>
      <c r="M57" s="595">
        <f t="shared" si="111"/>
        <v>214526.43101260974</v>
      </c>
      <c r="N57" s="595">
        <f t="shared" si="111"/>
        <v>230724.17301588855</v>
      </c>
      <c r="O57" s="595">
        <f t="shared" si="111"/>
        <v>252124.75216105999</v>
      </c>
      <c r="P57" s="595">
        <f t="shared" si="111"/>
        <v>268847.88323194673</v>
      </c>
      <c r="Q57" s="595">
        <f t="shared" si="111"/>
        <v>285925.14286366268</v>
      </c>
      <c r="R57" s="595">
        <f t="shared" si="111"/>
        <v>285925.14286366268</v>
      </c>
      <c r="S57" s="595">
        <f t="shared" ref="S57:X57" si="112">S20-S42</f>
        <v>285925.14286366268</v>
      </c>
      <c r="T57" s="595">
        <f t="shared" si="112"/>
        <v>285925.14286366268</v>
      </c>
      <c r="U57" s="595">
        <f t="shared" si="112"/>
        <v>285925.14286366268</v>
      </c>
      <c r="V57" s="595">
        <f t="shared" si="112"/>
        <v>285925.14286366268</v>
      </c>
      <c r="W57" s="595">
        <f t="shared" si="112"/>
        <v>285925.14286366268</v>
      </c>
      <c r="X57" s="595">
        <f t="shared" si="112"/>
        <v>285925.14286366268</v>
      </c>
      <c r="Y57" s="1035">
        <f t="shared" si="106"/>
        <v>4377997.3052686984</v>
      </c>
      <c r="Z57" s="1036">
        <f t="shared" si="107"/>
        <v>2760266.349233279</v>
      </c>
    </row>
    <row r="58" spans="2:28" x14ac:dyDescent="0.15">
      <c r="B58" s="1055" t="str">
        <f t="shared" si="110"/>
        <v>Millcreek City</v>
      </c>
      <c r="C58" s="1008"/>
      <c r="D58" s="595" t="e">
        <f>D21-D43</f>
        <v>#REF!</v>
      </c>
      <c r="E58" s="595">
        <f t="shared" ref="E58:R58" si="113">E21-E43</f>
        <v>13463.051015664249</v>
      </c>
      <c r="F58" s="595">
        <f t="shared" si="113"/>
        <v>27417.376148778261</v>
      </c>
      <c r="G58" s="595">
        <f t="shared" si="113"/>
        <v>30271.564919669792</v>
      </c>
      <c r="H58" s="595">
        <f t="shared" si="113"/>
        <v>35119.396883663605</v>
      </c>
      <c r="I58" s="595">
        <f t="shared" si="113"/>
        <v>39485.028321897698</v>
      </c>
      <c r="J58" s="595">
        <f t="shared" si="113"/>
        <v>44274.519649208814</v>
      </c>
      <c r="K58" s="595">
        <f t="shared" si="113"/>
        <v>47790.179530292749</v>
      </c>
      <c r="L58" s="595">
        <f t="shared" si="113"/>
        <v>51393.703391606512</v>
      </c>
      <c r="M58" s="595">
        <f t="shared" si="113"/>
        <v>55181.178624056571</v>
      </c>
      <c r="N58" s="595">
        <f t="shared" si="113"/>
        <v>59347.613923289144</v>
      </c>
      <c r="O58" s="595">
        <f t="shared" si="113"/>
        <v>64852.339727442159</v>
      </c>
      <c r="P58" s="595">
        <f t="shared" si="113"/>
        <v>69153.917292594851</v>
      </c>
      <c r="Q58" s="595">
        <f t="shared" si="113"/>
        <v>73546.584945242852</v>
      </c>
      <c r="R58" s="595">
        <f t="shared" si="113"/>
        <v>73546.584945242852</v>
      </c>
      <c r="S58" s="595">
        <f t="shared" ref="S58:X58" si="114">S21-S43</f>
        <v>73546.584945242852</v>
      </c>
      <c r="T58" s="595">
        <f t="shared" si="114"/>
        <v>73546.584945242852</v>
      </c>
      <c r="U58" s="595">
        <f t="shared" si="114"/>
        <v>73546.584945242852</v>
      </c>
      <c r="V58" s="595">
        <f t="shared" si="114"/>
        <v>73546.584945242852</v>
      </c>
      <c r="W58" s="595">
        <f t="shared" si="114"/>
        <v>73546.584945242852</v>
      </c>
      <c r="X58" s="595">
        <f t="shared" si="114"/>
        <v>73546.584945242852</v>
      </c>
      <c r="Y58" s="1035">
        <f t="shared" si="106"/>
        <v>1126122.5489901071</v>
      </c>
      <c r="Z58" s="1036">
        <f t="shared" si="107"/>
        <v>710004.58893599559</v>
      </c>
    </row>
    <row r="59" spans="2:28" x14ac:dyDescent="0.15">
      <c r="B59" s="1055" t="str">
        <f t="shared" si="110"/>
        <v>South Salt Lake Valley Mosquito Abatement District</v>
      </c>
      <c r="C59" s="1008"/>
      <c r="D59" s="595" t="e">
        <f>D22-D44</f>
        <v>#REF!</v>
      </c>
      <c r="E59" s="595">
        <f t="shared" ref="E59:R59" si="115">E22-E44</f>
        <v>100.37065866548892</v>
      </c>
      <c r="F59" s="595">
        <f t="shared" si="115"/>
        <v>204.40389772946014</v>
      </c>
      <c r="G59" s="595">
        <f t="shared" si="115"/>
        <v>225.68264105121614</v>
      </c>
      <c r="H59" s="595">
        <f t="shared" si="115"/>
        <v>261.82452945077239</v>
      </c>
      <c r="I59" s="595">
        <f t="shared" si="115"/>
        <v>294.37148351315386</v>
      </c>
      <c r="J59" s="595">
        <f t="shared" si="115"/>
        <v>330.07842680821682</v>
      </c>
      <c r="K59" s="595">
        <f t="shared" si="115"/>
        <v>356.28861478846488</v>
      </c>
      <c r="L59" s="595">
        <f t="shared" si="115"/>
        <v>383.15385232311019</v>
      </c>
      <c r="M59" s="595">
        <f t="shared" si="115"/>
        <v>411.39049670022314</v>
      </c>
      <c r="N59" s="595">
        <f t="shared" si="115"/>
        <v>442.45239008416365</v>
      </c>
      <c r="O59" s="595">
        <f t="shared" si="115"/>
        <v>483.49159836562262</v>
      </c>
      <c r="P59" s="595">
        <f t="shared" si="115"/>
        <v>515.56101361278434</v>
      </c>
      <c r="Q59" s="595">
        <f t="shared" si="115"/>
        <v>548.30952990986225</v>
      </c>
      <c r="R59" s="595">
        <f t="shared" si="115"/>
        <v>548.30952990986225</v>
      </c>
      <c r="S59" s="595">
        <f t="shared" ref="S59:X59" si="116">S22-S44</f>
        <v>548.30952990986225</v>
      </c>
      <c r="T59" s="595">
        <f t="shared" si="116"/>
        <v>548.30952990986225</v>
      </c>
      <c r="U59" s="595">
        <f t="shared" si="116"/>
        <v>548.30952990986225</v>
      </c>
      <c r="V59" s="595">
        <f t="shared" si="116"/>
        <v>548.30952990986225</v>
      </c>
      <c r="W59" s="595">
        <f t="shared" si="116"/>
        <v>548.30952990986225</v>
      </c>
      <c r="X59" s="595">
        <f t="shared" si="116"/>
        <v>548.30952990986225</v>
      </c>
      <c r="Y59" s="1035">
        <f t="shared" si="106"/>
        <v>8395.5458423715754</v>
      </c>
      <c r="Z59" s="1036">
        <f t="shared" si="107"/>
        <v>5293.2747684095102</v>
      </c>
    </row>
    <row r="60" spans="2:28" x14ac:dyDescent="0.15">
      <c r="B60" s="1055" t="str">
        <f t="shared" si="110"/>
        <v>Mt. Olympus Improvement District</v>
      </c>
      <c r="C60" s="1008"/>
      <c r="D60" s="595" t="e">
        <f>D23-D45</f>
        <v>#REF!</v>
      </c>
      <c r="E60" s="595">
        <f t="shared" ref="E60:R60" si="117">E23-E45</f>
        <v>1866.8942511780942</v>
      </c>
      <c r="F60" s="595">
        <f t="shared" si="117"/>
        <v>3801.9124977679603</v>
      </c>
      <c r="G60" s="595">
        <f t="shared" si="117"/>
        <v>4197.6971235526216</v>
      </c>
      <c r="H60" s="595">
        <f t="shared" si="117"/>
        <v>4869.9362477843679</v>
      </c>
      <c r="I60" s="595">
        <f t="shared" si="117"/>
        <v>5475.3095933446602</v>
      </c>
      <c r="J60" s="595">
        <f t="shared" si="117"/>
        <v>6139.4587386328349</v>
      </c>
      <c r="K60" s="595">
        <f t="shared" si="117"/>
        <v>6626.9682350654475</v>
      </c>
      <c r="L60" s="595">
        <f t="shared" si="117"/>
        <v>7126.6616532098487</v>
      </c>
      <c r="M60" s="595">
        <f t="shared" si="117"/>
        <v>7651.8632386241479</v>
      </c>
      <c r="N60" s="595">
        <f t="shared" si="117"/>
        <v>8229.6144555654464</v>
      </c>
      <c r="O60" s="595">
        <f t="shared" si="117"/>
        <v>8992.9437296005781</v>
      </c>
      <c r="P60" s="595">
        <f t="shared" si="117"/>
        <v>9589.4348531977957</v>
      </c>
      <c r="Q60" s="595">
        <f t="shared" si="117"/>
        <v>10198.557256323431</v>
      </c>
      <c r="R60" s="595">
        <f t="shared" si="117"/>
        <v>10198.557256323431</v>
      </c>
      <c r="S60" s="595">
        <f t="shared" ref="S60:X60" si="118">S23-S45</f>
        <v>10198.557256323431</v>
      </c>
      <c r="T60" s="595">
        <f t="shared" si="118"/>
        <v>10198.557256323431</v>
      </c>
      <c r="U60" s="595">
        <f t="shared" si="118"/>
        <v>10198.557256323431</v>
      </c>
      <c r="V60" s="595">
        <f t="shared" si="118"/>
        <v>10198.557256323431</v>
      </c>
      <c r="W60" s="595">
        <f t="shared" si="118"/>
        <v>10198.557256323431</v>
      </c>
      <c r="X60" s="595">
        <f t="shared" si="118"/>
        <v>10198.557256323431</v>
      </c>
      <c r="Y60" s="1035">
        <f t="shared" si="106"/>
        <v>156157.15266811126</v>
      </c>
      <c r="Z60" s="1036">
        <f t="shared" si="107"/>
        <v>98454.910692416859</v>
      </c>
    </row>
    <row r="61" spans="2:28" x14ac:dyDescent="0.15">
      <c r="B61" s="1055" t="str">
        <f t="shared" si="110"/>
        <v>Central Utah Water Conservancy District</v>
      </c>
      <c r="C61" s="1008"/>
      <c r="D61" s="595" t="e">
        <f>D23-D46</f>
        <v>#REF!</v>
      </c>
      <c r="E61" s="595">
        <f t="shared" ref="E61:R61" si="119">E24-E46</f>
        <v>2676.5508977463724</v>
      </c>
      <c r="F61" s="595">
        <f t="shared" si="119"/>
        <v>5450.7706061189383</v>
      </c>
      <c r="G61" s="595">
        <f t="shared" si="119"/>
        <v>6018.2037613657631</v>
      </c>
      <c r="H61" s="595">
        <f t="shared" si="119"/>
        <v>6981.9874520205958</v>
      </c>
      <c r="I61" s="595">
        <f t="shared" si="119"/>
        <v>7849.9062270174363</v>
      </c>
      <c r="J61" s="595">
        <f t="shared" si="119"/>
        <v>8802.0913815524545</v>
      </c>
      <c r="K61" s="595">
        <f t="shared" si="119"/>
        <v>9501.0297276923957</v>
      </c>
      <c r="L61" s="595">
        <f t="shared" si="119"/>
        <v>10217.4360619496</v>
      </c>
      <c r="M61" s="595">
        <f t="shared" si="119"/>
        <v>10970.413245339281</v>
      </c>
      <c r="N61" s="595">
        <f t="shared" si="119"/>
        <v>11798.730402244364</v>
      </c>
      <c r="O61" s="595">
        <f t="shared" si="119"/>
        <v>12893.109289749933</v>
      </c>
      <c r="P61" s="595">
        <f t="shared" si="119"/>
        <v>13748.293696340923</v>
      </c>
      <c r="Q61" s="595">
        <f t="shared" si="119"/>
        <v>14621.587464262986</v>
      </c>
      <c r="R61" s="595">
        <f t="shared" si="119"/>
        <v>14621.587464262986</v>
      </c>
      <c r="S61" s="595">
        <f t="shared" ref="S61:X61" si="120">S24-S46</f>
        <v>14621.587464262986</v>
      </c>
      <c r="T61" s="595">
        <f t="shared" si="120"/>
        <v>14621.587464262986</v>
      </c>
      <c r="U61" s="595">
        <f t="shared" si="120"/>
        <v>14621.587464262986</v>
      </c>
      <c r="V61" s="595">
        <f t="shared" si="120"/>
        <v>14621.587464262986</v>
      </c>
      <c r="W61" s="595">
        <f t="shared" si="120"/>
        <v>14621.587464262986</v>
      </c>
      <c r="X61" s="595">
        <f t="shared" si="120"/>
        <v>14621.587464262986</v>
      </c>
      <c r="Y61" s="1035">
        <f t="shared" si="106"/>
        <v>223881.22246324201</v>
      </c>
      <c r="Z61" s="1036">
        <f t="shared" si="107"/>
        <v>141153.99382425356</v>
      </c>
    </row>
    <row r="62" spans="2:28" x14ac:dyDescent="0.15">
      <c r="B62" s="1055" t="str">
        <f t="shared" si="110"/>
        <v>Unified Fire Service Area</v>
      </c>
      <c r="C62" s="1008"/>
      <c r="D62" s="595" t="e">
        <f>D25-D47</f>
        <v>#REF!</v>
      </c>
      <c r="E62" s="595">
        <f t="shared" ref="E62:R62" si="121">E25-E47</f>
        <v>12432.578920031898</v>
      </c>
      <c r="F62" s="595">
        <f t="shared" si="121"/>
        <v>25318.829465422459</v>
      </c>
      <c r="G62" s="595">
        <f t="shared" si="121"/>
        <v>27954.556471543969</v>
      </c>
      <c r="H62" s="595">
        <f t="shared" si="121"/>
        <v>32431.331714635671</v>
      </c>
      <c r="I62" s="595">
        <f t="shared" si="121"/>
        <v>36462.814424495999</v>
      </c>
      <c r="J62" s="595">
        <f t="shared" si="121"/>
        <v>40885.714467311132</v>
      </c>
      <c r="K62" s="595">
        <f t="shared" si="121"/>
        <v>44132.283085131174</v>
      </c>
      <c r="L62" s="595">
        <f t="shared" si="121"/>
        <v>47459.990507755923</v>
      </c>
      <c r="M62" s="595">
        <f t="shared" si="121"/>
        <v>50957.569524600956</v>
      </c>
      <c r="N62" s="595">
        <f t="shared" si="121"/>
        <v>54805.102718425071</v>
      </c>
      <c r="O62" s="595">
        <f t="shared" si="121"/>
        <v>59888.492650888453</v>
      </c>
      <c r="P62" s="595">
        <f t="shared" si="121"/>
        <v>63860.824219503585</v>
      </c>
      <c r="Q62" s="595">
        <f t="shared" si="121"/>
        <v>67917.273771501612</v>
      </c>
      <c r="R62" s="595">
        <f t="shared" si="121"/>
        <v>67917.273771501612</v>
      </c>
      <c r="S62" s="595">
        <f t="shared" ref="S62:X62" si="122">S25-S47</f>
        <v>67917.273771501612</v>
      </c>
      <c r="T62" s="595">
        <f t="shared" si="122"/>
        <v>67917.273771501612</v>
      </c>
      <c r="U62" s="595">
        <f t="shared" si="122"/>
        <v>67917.273771501612</v>
      </c>
      <c r="V62" s="595">
        <f t="shared" si="122"/>
        <v>67917.273771501612</v>
      </c>
      <c r="W62" s="595">
        <f t="shared" si="122"/>
        <v>67917.273771501612</v>
      </c>
      <c r="X62" s="595">
        <f t="shared" si="122"/>
        <v>67917.273771501612</v>
      </c>
      <c r="Y62" s="1035">
        <f t="shared" si="106"/>
        <v>1039928.2783417592</v>
      </c>
      <c r="Z62" s="1036">
        <f t="shared" si="107"/>
        <v>655660.30131365778</v>
      </c>
    </row>
    <row r="63" spans="2:28" x14ac:dyDescent="0.15">
      <c r="B63" s="1037" t="s">
        <v>13</v>
      </c>
      <c r="C63" s="1038"/>
      <c r="D63" s="1072" t="e">
        <f t="shared" ref="D63:Z63" si="123">SUM(D55:D62)</f>
        <v>#REF!</v>
      </c>
      <c r="E63" s="1072">
        <f t="shared" si="123"/>
        <v>104492.54704801836</v>
      </c>
      <c r="F63" s="1072">
        <f t="shared" si="123"/>
        <v>212798.08446288333</v>
      </c>
      <c r="G63" s="1072">
        <f t="shared" si="123"/>
        <v>234950.6748437194</v>
      </c>
      <c r="H63" s="1072">
        <f t="shared" si="123"/>
        <v>272576.79012688418</v>
      </c>
      <c r="I63" s="1072">
        <f t="shared" si="123"/>
        <v>306460.33910276077</v>
      </c>
      <c r="J63" s="1072">
        <f t="shared" si="123"/>
        <v>343633.64753580769</v>
      </c>
      <c r="K63" s="1072">
        <f t="shared" si="123"/>
        <v>370920.20056911127</v>
      </c>
      <c r="L63" s="1072">
        <f t="shared" si="123"/>
        <v>398888.70385851257</v>
      </c>
      <c r="M63" s="1072">
        <f t="shared" si="123"/>
        <v>428284.93309804564</v>
      </c>
      <c r="N63" s="1072">
        <f t="shared" si="123"/>
        <v>460622.43490362004</v>
      </c>
      <c r="O63" s="1072">
        <f t="shared" si="123"/>
        <v>503346.98667183745</v>
      </c>
      <c r="P63" s="1072">
        <f t="shared" si="123"/>
        <v>536733.38590514963</v>
      </c>
      <c r="Q63" s="1072">
        <f t="shared" si="123"/>
        <v>570826.77460482705</v>
      </c>
      <c r="R63" s="1072">
        <f t="shared" si="123"/>
        <v>570826.77460482705</v>
      </c>
      <c r="S63" s="1072">
        <f t="shared" ref="S63:X63" si="124">SUM(S55:S62)</f>
        <v>570826.77460482705</v>
      </c>
      <c r="T63" s="1072">
        <f t="shared" si="124"/>
        <v>570826.77460482705</v>
      </c>
      <c r="U63" s="1072">
        <f t="shared" si="124"/>
        <v>570826.77460482705</v>
      </c>
      <c r="V63" s="1072">
        <f t="shared" si="124"/>
        <v>570826.77460482705</v>
      </c>
      <c r="W63" s="1072">
        <f t="shared" si="124"/>
        <v>570826.77460482705</v>
      </c>
      <c r="X63" s="1072">
        <f t="shared" si="124"/>
        <v>570826.77460482705</v>
      </c>
      <c r="Y63" s="1040">
        <f t="shared" si="123"/>
        <v>8740322.9249649681</v>
      </c>
      <c r="Z63" s="1041">
        <f t="shared" si="123"/>
        <v>5510651.91889886</v>
      </c>
    </row>
    <row r="64" spans="2:28" ht="6" customHeight="1" x14ac:dyDescent="0.15">
      <c r="H64" s="600"/>
    </row>
    <row r="65" spans="4:27" x14ac:dyDescent="0.15">
      <c r="D65" s="629"/>
      <c r="E65" s="629"/>
      <c r="F65" s="629"/>
      <c r="G65" s="629"/>
      <c r="H65" s="600"/>
      <c r="I65" s="600"/>
      <c r="J65" s="600"/>
      <c r="K65" s="600"/>
      <c r="L65" s="600"/>
      <c r="M65" s="600"/>
      <c r="N65" s="600"/>
      <c r="O65" s="600"/>
      <c r="P65" s="600"/>
      <c r="Q65" s="600"/>
      <c r="R65" s="600"/>
      <c r="S65" s="1077"/>
      <c r="T65" s="1077"/>
      <c r="U65" s="1077"/>
      <c r="V65" s="1077"/>
      <c r="W65" s="1077"/>
      <c r="X65" s="1077"/>
      <c r="Y65" s="600"/>
      <c r="Z65" s="600"/>
      <c r="AA65" s="886"/>
    </row>
    <row r="66" spans="4:27" x14ac:dyDescent="0.15">
      <c r="D66" s="584"/>
      <c r="E66" s="584"/>
      <c r="F66" s="584"/>
      <c r="G66" s="584"/>
      <c r="H66" s="690"/>
      <c r="I66" s="690"/>
      <c r="J66" s="690"/>
      <c r="K66" s="897"/>
      <c r="L66" s="897"/>
      <c r="M66" s="897"/>
      <c r="N66" s="897"/>
      <c r="O66" s="897"/>
      <c r="P66" s="690"/>
      <c r="Q66" s="690"/>
      <c r="R66" s="690"/>
      <c r="S66" s="690"/>
      <c r="T66" s="690"/>
      <c r="U66" s="690"/>
      <c r="V66" s="690"/>
      <c r="W66" s="690"/>
      <c r="X66" s="690"/>
      <c r="Y66" s="690"/>
      <c r="Z66" s="690"/>
      <c r="AA66" s="595"/>
    </row>
  </sheetData>
  <mergeCells count="1">
    <mergeCell ref="B6:B7"/>
  </mergeCells>
  <conditionalFormatting sqref="D27:Z27 D16:Z16 D40:Z48 D55:Z63 D10:Z14 D50:Z53">
    <cfRule type="cellIs" dxfId="6" priority="1" operator="greaterThan">
      <formula>0</formula>
    </cfRule>
  </conditionalFormatting>
  <printOptions horizontalCentered="1"/>
  <pageMargins left="0.17" right="0.17" top="0.26" bottom="0.18" header="0" footer="7.0000000000000007E-2"/>
  <pageSetup paperSize="3" scale="77" orientation="landscape" r:id="rId1"/>
  <headerFooter alignWithMargins="0">
    <oddFooter xml:space="preserve">&amp;R&amp;"Arial,Italic"&amp;9&amp;G &amp;A
&amp;F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499984740745262"/>
    <pageSetUpPr fitToPage="1"/>
  </sheetPr>
  <dimension ref="A1:AC56"/>
  <sheetViews>
    <sheetView view="pageBreakPreview" zoomScale="115" zoomScaleNormal="115" zoomScaleSheetLayoutView="115" zoomScalePageLayoutView="115" workbookViewId="0">
      <pane xSplit="3" ySplit="9" topLeftCell="D37" activePane="bottomRight" state="frozen"/>
      <selection activeCell="P13" sqref="P13:P19"/>
      <selection pane="topRight" activeCell="P13" sqref="P13:P19"/>
      <selection pane="bottomLeft" activeCell="P13" sqref="P13:P19"/>
      <selection pane="bottomRight" activeCell="F47" sqref="F47:H55"/>
    </sheetView>
  </sheetViews>
  <sheetFormatPr baseColWidth="10" defaultColWidth="8.83203125" defaultRowHeight="11" x14ac:dyDescent="0.15"/>
  <cols>
    <col min="1" max="1" width="3.33203125" style="574" customWidth="1"/>
    <col min="2" max="2" width="30.5" style="566" customWidth="1"/>
    <col min="3" max="3" width="10" style="566" bestFit="1" customWidth="1"/>
    <col min="4" max="5" width="8.5" style="566" customWidth="1"/>
    <col min="6" max="6" width="9.5" style="566" bestFit="1" customWidth="1"/>
    <col min="7" max="7" width="11.5" style="566" customWidth="1"/>
    <col min="8" max="8" width="9.5" style="566" bestFit="1" customWidth="1"/>
    <col min="9" max="16" width="9.1640625" style="566" customWidth="1"/>
    <col min="17" max="21" width="9.1640625" style="973" customWidth="1"/>
    <col min="22" max="22" width="9.1640625" style="566" customWidth="1"/>
    <col min="23" max="23" width="9.1640625" style="973" customWidth="1"/>
    <col min="24" max="25" width="10.1640625" style="566" bestFit="1" customWidth="1"/>
    <col min="26" max="26" width="3.6640625" style="574" customWidth="1"/>
    <col min="27" max="27" width="10.6640625" style="566" bestFit="1" customWidth="1"/>
    <col min="28" max="16384" width="8.83203125" style="566"/>
  </cols>
  <sheetData>
    <row r="1" spans="1:29" ht="12" thickBot="1" x14ac:dyDescent="0.2">
      <c r="B1" s="576" t="str">
        <f>'A.1 - Summary '!B1</f>
        <v>Millcreek Community Reinvestment Agency</v>
      </c>
      <c r="F1" s="703" t="s">
        <v>63</v>
      </c>
      <c r="G1" s="704"/>
      <c r="H1" s="705"/>
      <c r="I1" s="671"/>
      <c r="Y1" s="672"/>
    </row>
    <row r="2" spans="1:29" x14ac:dyDescent="0.15">
      <c r="B2" s="576" t="str">
        <f>'A.1 - Summary '!B2</f>
        <v>Millcreek Center CRA</v>
      </c>
      <c r="F2" s="699" t="s">
        <v>14</v>
      </c>
      <c r="G2" s="700"/>
      <c r="H2" s="673">
        <v>0.04</v>
      </c>
      <c r="K2" s="829"/>
      <c r="L2" s="807"/>
      <c r="M2" s="807"/>
      <c r="N2" s="807"/>
      <c r="O2" s="807"/>
      <c r="P2" s="671"/>
      <c r="Q2" s="671"/>
      <c r="R2" s="671"/>
      <c r="S2" s="671"/>
      <c r="T2" s="671"/>
      <c r="U2" s="671"/>
      <c r="V2" s="671"/>
      <c r="W2" s="671"/>
    </row>
    <row r="3" spans="1:29" ht="12" thickBot="1" x14ac:dyDescent="0.2">
      <c r="B3" s="576" t="str">
        <f>'A.1 - Summary '!B3</f>
        <v>Increment and Budget Analysis</v>
      </c>
      <c r="F3" s="701" t="s">
        <v>30</v>
      </c>
      <c r="G3" s="702"/>
      <c r="H3" s="674">
        <f>'B.1 - Dev Pro Forma'!C18</f>
        <v>0</v>
      </c>
      <c r="I3" s="601"/>
      <c r="AA3" s="568"/>
    </row>
    <row r="4" spans="1:29" x14ac:dyDescent="0.15">
      <c r="B4" s="830" t="s">
        <v>1366</v>
      </c>
      <c r="AA4" s="814"/>
      <c r="AB4" s="601"/>
    </row>
    <row r="5" spans="1:29" x14ac:dyDescent="0.15">
      <c r="B5" s="570"/>
      <c r="C5" s="574"/>
      <c r="D5" s="574"/>
      <c r="E5" s="574"/>
      <c r="F5" s="574"/>
      <c r="G5" s="574"/>
      <c r="H5" s="574"/>
      <c r="I5" s="574"/>
      <c r="J5" s="574"/>
      <c r="K5" s="574"/>
      <c r="L5" s="574"/>
      <c r="M5" s="574"/>
      <c r="N5" s="574"/>
      <c r="O5" s="574"/>
      <c r="P5" s="574"/>
      <c r="Q5" s="975"/>
      <c r="R5" s="975"/>
      <c r="S5" s="975"/>
      <c r="T5" s="975"/>
      <c r="U5" s="975"/>
      <c r="V5" s="574"/>
      <c r="W5" s="975"/>
      <c r="AA5" s="575"/>
      <c r="AC5" s="574"/>
    </row>
    <row r="6" spans="1:29" ht="13.5" customHeight="1" thickBot="1" x14ac:dyDescent="0.2">
      <c r="B6" s="574"/>
      <c r="C6" s="574"/>
      <c r="D6" s="574"/>
      <c r="E6" s="574"/>
      <c r="F6" s="574"/>
      <c r="G6" s="574"/>
      <c r="H6" s="574"/>
      <c r="I6" s="574"/>
      <c r="J6" s="574"/>
      <c r="K6" s="574"/>
      <c r="L6" s="574"/>
      <c r="M6" s="574"/>
      <c r="N6" s="574"/>
      <c r="O6" s="574"/>
      <c r="P6" s="574"/>
      <c r="Q6" s="975"/>
      <c r="R6" s="975"/>
      <c r="S6" s="975"/>
      <c r="T6" s="975"/>
      <c r="U6" s="975"/>
      <c r="V6" s="574"/>
      <c r="W6" s="975"/>
      <c r="X6" s="574"/>
      <c r="Y6" s="625"/>
    </row>
    <row r="7" spans="1:29" ht="12.75" customHeight="1" x14ac:dyDescent="0.15">
      <c r="B7" s="1307" t="s">
        <v>1260</v>
      </c>
      <c r="C7" s="288" t="s">
        <v>1206</v>
      </c>
      <c r="D7" s="675">
        <f t="shared" ref="D7:W7" si="0">D8+1</f>
        <v>2021</v>
      </c>
      <c r="E7" s="675">
        <f t="shared" si="0"/>
        <v>2022</v>
      </c>
      <c r="F7" s="675">
        <f t="shared" si="0"/>
        <v>2023</v>
      </c>
      <c r="G7" s="675">
        <f t="shared" si="0"/>
        <v>2024</v>
      </c>
      <c r="H7" s="675">
        <f t="shared" si="0"/>
        <v>2025</v>
      </c>
      <c r="I7" s="675">
        <f t="shared" si="0"/>
        <v>2026</v>
      </c>
      <c r="J7" s="675">
        <f t="shared" si="0"/>
        <v>2027</v>
      </c>
      <c r="K7" s="675">
        <f t="shared" si="0"/>
        <v>2028</v>
      </c>
      <c r="L7" s="675">
        <f t="shared" si="0"/>
        <v>2029</v>
      </c>
      <c r="M7" s="675">
        <f t="shared" si="0"/>
        <v>2030</v>
      </c>
      <c r="N7" s="675">
        <f t="shared" si="0"/>
        <v>2031</v>
      </c>
      <c r="O7" s="675">
        <f t="shared" si="0"/>
        <v>2032</v>
      </c>
      <c r="P7" s="675">
        <f t="shared" si="0"/>
        <v>2033</v>
      </c>
      <c r="Q7" s="675">
        <f t="shared" si="0"/>
        <v>2034</v>
      </c>
      <c r="R7" s="675">
        <f t="shared" si="0"/>
        <v>2035</v>
      </c>
      <c r="S7" s="675">
        <f t="shared" si="0"/>
        <v>2036</v>
      </c>
      <c r="T7" s="675">
        <f t="shared" si="0"/>
        <v>2037</v>
      </c>
      <c r="U7" s="675">
        <f t="shared" si="0"/>
        <v>2038</v>
      </c>
      <c r="V7" s="675">
        <f t="shared" si="0"/>
        <v>2039</v>
      </c>
      <c r="W7" s="675">
        <f t="shared" si="0"/>
        <v>2040</v>
      </c>
      <c r="X7" s="676"/>
      <c r="Y7" s="696"/>
    </row>
    <row r="8" spans="1:29" x14ac:dyDescent="0.15">
      <c r="B8" s="1308"/>
      <c r="C8" s="290" t="s">
        <v>1205</v>
      </c>
      <c r="D8" s="677">
        <v>2020</v>
      </c>
      <c r="E8" s="677">
        <f t="shared" ref="E8:P9" si="1">D8+1</f>
        <v>2021</v>
      </c>
      <c r="F8" s="677">
        <f t="shared" si="1"/>
        <v>2022</v>
      </c>
      <c r="G8" s="677">
        <f t="shared" si="1"/>
        <v>2023</v>
      </c>
      <c r="H8" s="677">
        <f t="shared" si="1"/>
        <v>2024</v>
      </c>
      <c r="I8" s="677">
        <f t="shared" si="1"/>
        <v>2025</v>
      </c>
      <c r="J8" s="677">
        <f t="shared" si="1"/>
        <v>2026</v>
      </c>
      <c r="K8" s="677">
        <f t="shared" si="1"/>
        <v>2027</v>
      </c>
      <c r="L8" s="677">
        <f t="shared" si="1"/>
        <v>2028</v>
      </c>
      <c r="M8" s="677">
        <f t="shared" si="1"/>
        <v>2029</v>
      </c>
      <c r="N8" s="677">
        <f t="shared" si="1"/>
        <v>2030</v>
      </c>
      <c r="O8" s="677">
        <f t="shared" si="1"/>
        <v>2031</v>
      </c>
      <c r="P8" s="677">
        <f t="shared" si="1"/>
        <v>2032</v>
      </c>
      <c r="Q8" s="677">
        <f t="shared" ref="Q8:Q9" si="2">P8+1</f>
        <v>2033</v>
      </c>
      <c r="R8" s="677">
        <f t="shared" ref="R8:R9" si="3">Q8+1</f>
        <v>2034</v>
      </c>
      <c r="S8" s="677">
        <f t="shared" ref="S8:S9" si="4">R8+1</f>
        <v>2035</v>
      </c>
      <c r="T8" s="677">
        <f t="shared" ref="T8:T9" si="5">S8+1</f>
        <v>2036</v>
      </c>
      <c r="U8" s="677">
        <f t="shared" ref="U8:U9" si="6">T8+1</f>
        <v>2037</v>
      </c>
      <c r="V8" s="677">
        <f t="shared" ref="V8:V9" si="7">U8+1</f>
        <v>2038</v>
      </c>
      <c r="W8" s="677">
        <f t="shared" ref="W8:W9" si="8">V8+1</f>
        <v>2039</v>
      </c>
      <c r="X8" s="678" t="s">
        <v>5</v>
      </c>
      <c r="Y8" s="617" t="s">
        <v>15</v>
      </c>
    </row>
    <row r="9" spans="1:29" x14ac:dyDescent="0.15">
      <c r="B9" s="691" t="s">
        <v>1218</v>
      </c>
      <c r="C9" s="289" t="s">
        <v>17</v>
      </c>
      <c r="D9" s="679">
        <v>1</v>
      </c>
      <c r="E9" s="679">
        <f>D9+1</f>
        <v>2</v>
      </c>
      <c r="F9" s="679">
        <f t="shared" si="1"/>
        <v>3</v>
      </c>
      <c r="G9" s="679">
        <f t="shared" si="1"/>
        <v>4</v>
      </c>
      <c r="H9" s="679">
        <f t="shared" si="1"/>
        <v>5</v>
      </c>
      <c r="I9" s="679">
        <f t="shared" si="1"/>
        <v>6</v>
      </c>
      <c r="J9" s="679">
        <f t="shared" si="1"/>
        <v>7</v>
      </c>
      <c r="K9" s="679">
        <f t="shared" si="1"/>
        <v>8</v>
      </c>
      <c r="L9" s="679">
        <f t="shared" si="1"/>
        <v>9</v>
      </c>
      <c r="M9" s="679">
        <f t="shared" si="1"/>
        <v>10</v>
      </c>
      <c r="N9" s="679">
        <f t="shared" si="1"/>
        <v>11</v>
      </c>
      <c r="O9" s="679">
        <f t="shared" si="1"/>
        <v>12</v>
      </c>
      <c r="P9" s="679">
        <f t="shared" si="1"/>
        <v>13</v>
      </c>
      <c r="Q9" s="679">
        <f t="shared" si="2"/>
        <v>14</v>
      </c>
      <c r="R9" s="679">
        <f t="shared" si="3"/>
        <v>15</v>
      </c>
      <c r="S9" s="679">
        <f t="shared" si="4"/>
        <v>16</v>
      </c>
      <c r="T9" s="679">
        <f t="shared" si="5"/>
        <v>17</v>
      </c>
      <c r="U9" s="679">
        <f t="shared" si="6"/>
        <v>18</v>
      </c>
      <c r="V9" s="679">
        <f t="shared" si="7"/>
        <v>19</v>
      </c>
      <c r="W9" s="679">
        <f t="shared" si="8"/>
        <v>20</v>
      </c>
      <c r="X9" s="615"/>
      <c r="Y9" s="697"/>
    </row>
    <row r="10" spans="1:29" ht="13.5" customHeight="1" x14ac:dyDescent="0.15">
      <c r="B10" s="692" t="s">
        <v>1375</v>
      </c>
      <c r="C10" s="680"/>
      <c r="D10" s="681">
        <f>'Parcel Info'!N250</f>
        <v>130666124.49893796</v>
      </c>
      <c r="E10" s="681">
        <f t="shared" ref="E10:P10" si="9">D10</f>
        <v>130666124.49893796</v>
      </c>
      <c r="F10" s="681">
        <f t="shared" si="9"/>
        <v>130666124.49893796</v>
      </c>
      <c r="G10" s="681">
        <f t="shared" si="9"/>
        <v>130666124.49893796</v>
      </c>
      <c r="H10" s="681">
        <f t="shared" si="9"/>
        <v>130666124.49893796</v>
      </c>
      <c r="I10" s="681">
        <f t="shared" si="9"/>
        <v>130666124.49893796</v>
      </c>
      <c r="J10" s="681">
        <f t="shared" si="9"/>
        <v>130666124.49893796</v>
      </c>
      <c r="K10" s="681">
        <f t="shared" si="9"/>
        <v>130666124.49893796</v>
      </c>
      <c r="L10" s="681">
        <f t="shared" si="9"/>
        <v>130666124.49893796</v>
      </c>
      <c r="M10" s="681">
        <f t="shared" si="9"/>
        <v>130666124.49893796</v>
      </c>
      <c r="N10" s="681">
        <f t="shared" si="9"/>
        <v>130666124.49893796</v>
      </c>
      <c r="O10" s="681">
        <f t="shared" si="9"/>
        <v>130666124.49893796</v>
      </c>
      <c r="P10" s="681">
        <f t="shared" si="9"/>
        <v>130666124.49893796</v>
      </c>
      <c r="Q10" s="981">
        <f t="shared" ref="Q10" si="10">P10</f>
        <v>130666124.49893796</v>
      </c>
      <c r="R10" s="981">
        <f t="shared" ref="R10" si="11">Q10</f>
        <v>130666124.49893796</v>
      </c>
      <c r="S10" s="981">
        <f t="shared" ref="S10" si="12">R10</f>
        <v>130666124.49893796</v>
      </c>
      <c r="T10" s="981">
        <f t="shared" ref="T10" si="13">S10</f>
        <v>130666124.49893796</v>
      </c>
      <c r="U10" s="981">
        <f t="shared" ref="U10" si="14">T10</f>
        <v>130666124.49893796</v>
      </c>
      <c r="V10" s="981">
        <f t="shared" ref="V10" si="15">U10</f>
        <v>130666124.49893796</v>
      </c>
      <c r="W10" s="981">
        <f t="shared" ref="W10" si="16">V10</f>
        <v>130666124.49893796</v>
      </c>
      <c r="X10" s="710"/>
      <c r="Y10" s="711"/>
    </row>
    <row r="11" spans="1:29" ht="12.75" customHeight="1" thickBot="1" x14ac:dyDescent="0.2">
      <c r="B11" s="1309" t="s">
        <v>1</v>
      </c>
      <c r="C11" s="1310"/>
      <c r="D11" s="682">
        <f t="shared" ref="D11:P11" si="17">SUM(D10:D10)</f>
        <v>130666124.49893796</v>
      </c>
      <c r="E11" s="682">
        <f t="shared" si="17"/>
        <v>130666124.49893796</v>
      </c>
      <c r="F11" s="682">
        <f t="shared" si="17"/>
        <v>130666124.49893796</v>
      </c>
      <c r="G11" s="682">
        <f t="shared" si="17"/>
        <v>130666124.49893796</v>
      </c>
      <c r="H11" s="682">
        <f t="shared" si="17"/>
        <v>130666124.49893796</v>
      </c>
      <c r="I11" s="682">
        <f t="shared" si="17"/>
        <v>130666124.49893796</v>
      </c>
      <c r="J11" s="682">
        <f t="shared" si="17"/>
        <v>130666124.49893796</v>
      </c>
      <c r="K11" s="682">
        <f t="shared" si="17"/>
        <v>130666124.49893796</v>
      </c>
      <c r="L11" s="682">
        <f t="shared" si="17"/>
        <v>130666124.49893796</v>
      </c>
      <c r="M11" s="682">
        <f t="shared" si="17"/>
        <v>130666124.49893796</v>
      </c>
      <c r="N11" s="682">
        <f t="shared" si="17"/>
        <v>130666124.49893796</v>
      </c>
      <c r="O11" s="682">
        <f t="shared" si="17"/>
        <v>130666124.49893796</v>
      </c>
      <c r="P11" s="682">
        <f t="shared" si="17"/>
        <v>130666124.49893796</v>
      </c>
      <c r="Q11" s="682">
        <f t="shared" ref="Q11:W11" si="18">SUM(Q10:Q10)</f>
        <v>130666124.49893796</v>
      </c>
      <c r="R11" s="682">
        <f t="shared" si="18"/>
        <v>130666124.49893796</v>
      </c>
      <c r="S11" s="682">
        <f t="shared" si="18"/>
        <v>130666124.49893796</v>
      </c>
      <c r="T11" s="682">
        <f t="shared" si="18"/>
        <v>130666124.49893796</v>
      </c>
      <c r="U11" s="682">
        <f t="shared" si="18"/>
        <v>130666124.49893796</v>
      </c>
      <c r="V11" s="682">
        <f t="shared" si="18"/>
        <v>130666124.49893796</v>
      </c>
      <c r="W11" s="682">
        <f t="shared" si="18"/>
        <v>130666124.49893796</v>
      </c>
      <c r="X11" s="708"/>
      <c r="Y11" s="709"/>
      <c r="AA11" s="600"/>
    </row>
    <row r="12" spans="1:29" x14ac:dyDescent="0.15">
      <c r="B12" s="693" t="s">
        <v>2</v>
      </c>
      <c r="C12" s="683" t="s">
        <v>2053</v>
      </c>
      <c r="D12" s="684"/>
      <c r="E12" s="684"/>
      <c r="F12" s="684"/>
      <c r="G12" s="684"/>
      <c r="H12" s="684"/>
      <c r="I12" s="684"/>
      <c r="J12" s="684"/>
      <c r="K12" s="684"/>
      <c r="L12" s="684"/>
      <c r="M12" s="684"/>
      <c r="N12" s="684"/>
      <c r="O12" s="684"/>
      <c r="P12" s="684"/>
      <c r="Q12" s="684"/>
      <c r="R12" s="684"/>
      <c r="S12" s="684"/>
      <c r="T12" s="684"/>
      <c r="U12" s="684"/>
      <c r="V12" s="684"/>
      <c r="W12" s="684"/>
      <c r="X12" s="685"/>
      <c r="Y12" s="698"/>
    </row>
    <row r="13" spans="1:29" x14ac:dyDescent="0.15">
      <c r="B13" s="694" t="str">
        <f>'Tax Increment Budget'!B55</f>
        <v>Salt Lake County</v>
      </c>
      <c r="C13" s="686">
        <f>'Tax Increment Budget'!C18</f>
        <v>2.0249999999999999E-3</v>
      </c>
      <c r="D13" s="687">
        <f t="shared" ref="D13:D20" si="19">+$C13*D$11</f>
        <v>264598.90211034939</v>
      </c>
      <c r="E13" s="687">
        <f t="shared" ref="E13:W13" si="20">+$C13*E$11</f>
        <v>264598.90211034939</v>
      </c>
      <c r="F13" s="687">
        <f t="shared" si="20"/>
        <v>264598.90211034939</v>
      </c>
      <c r="G13" s="687">
        <f t="shared" si="20"/>
        <v>264598.90211034939</v>
      </c>
      <c r="H13" s="687">
        <f t="shared" si="20"/>
        <v>264598.90211034939</v>
      </c>
      <c r="I13" s="687">
        <f t="shared" si="20"/>
        <v>264598.90211034939</v>
      </c>
      <c r="J13" s="687">
        <f t="shared" si="20"/>
        <v>264598.90211034939</v>
      </c>
      <c r="K13" s="687">
        <f t="shared" si="20"/>
        <v>264598.90211034939</v>
      </c>
      <c r="L13" s="687">
        <f t="shared" si="20"/>
        <v>264598.90211034939</v>
      </c>
      <c r="M13" s="687">
        <f t="shared" si="20"/>
        <v>264598.90211034939</v>
      </c>
      <c r="N13" s="687">
        <f t="shared" si="20"/>
        <v>264598.90211034939</v>
      </c>
      <c r="O13" s="687">
        <f t="shared" si="20"/>
        <v>264598.90211034939</v>
      </c>
      <c r="P13" s="687">
        <f t="shared" si="20"/>
        <v>264598.90211034939</v>
      </c>
      <c r="Q13" s="687">
        <f t="shared" si="20"/>
        <v>264598.90211034939</v>
      </c>
      <c r="R13" s="687">
        <f t="shared" si="20"/>
        <v>264598.90211034939</v>
      </c>
      <c r="S13" s="687">
        <f t="shared" si="20"/>
        <v>264598.90211034939</v>
      </c>
      <c r="T13" s="687">
        <f t="shared" si="20"/>
        <v>264598.90211034939</v>
      </c>
      <c r="U13" s="687">
        <f t="shared" si="20"/>
        <v>264598.90211034939</v>
      </c>
      <c r="V13" s="687">
        <f t="shared" si="20"/>
        <v>264598.90211034939</v>
      </c>
      <c r="W13" s="687">
        <f t="shared" si="20"/>
        <v>264598.90211034939</v>
      </c>
      <c r="X13" s="841">
        <f t="shared" ref="X13:X22" si="21">SUM(D13:W13)</f>
        <v>5291978.0422069877</v>
      </c>
      <c r="Y13" s="842">
        <f t="shared" ref="Y13:Y22" si="22">NPV($H$2,D13:W13)</f>
        <v>3595985.4301998066</v>
      </c>
    </row>
    <row r="14" spans="1:29" x14ac:dyDescent="0.15">
      <c r="A14" s="28"/>
      <c r="B14" s="694" t="str">
        <f>'Tax Increment Budget'!B56</f>
        <v>Salt Lake County Library</v>
      </c>
      <c r="C14" s="686">
        <f>'Tax Increment Budget'!C19</f>
        <v>5.5900000000000004E-4</v>
      </c>
      <c r="D14" s="687">
        <f t="shared" si="19"/>
        <v>73042.363594906332</v>
      </c>
      <c r="E14" s="687">
        <f t="shared" ref="E14:W20" si="23">+$C14*E$11</f>
        <v>73042.363594906332</v>
      </c>
      <c r="F14" s="687">
        <f t="shared" si="23"/>
        <v>73042.363594906332</v>
      </c>
      <c r="G14" s="687">
        <f t="shared" si="23"/>
        <v>73042.363594906332</v>
      </c>
      <c r="H14" s="687">
        <f t="shared" si="23"/>
        <v>73042.363594906332</v>
      </c>
      <c r="I14" s="687">
        <f t="shared" si="23"/>
        <v>73042.363594906332</v>
      </c>
      <c r="J14" s="687">
        <f t="shared" si="23"/>
        <v>73042.363594906332</v>
      </c>
      <c r="K14" s="687">
        <f t="shared" si="23"/>
        <v>73042.363594906332</v>
      </c>
      <c r="L14" s="687">
        <f t="shared" si="23"/>
        <v>73042.363594906332</v>
      </c>
      <c r="M14" s="687">
        <f t="shared" si="23"/>
        <v>73042.363594906332</v>
      </c>
      <c r="N14" s="687">
        <f t="shared" si="23"/>
        <v>73042.363594906332</v>
      </c>
      <c r="O14" s="687">
        <f t="shared" si="23"/>
        <v>73042.363594906332</v>
      </c>
      <c r="P14" s="687">
        <f t="shared" si="23"/>
        <v>73042.363594906332</v>
      </c>
      <c r="Q14" s="687">
        <f t="shared" si="23"/>
        <v>73042.363594906332</v>
      </c>
      <c r="R14" s="687">
        <f t="shared" si="23"/>
        <v>73042.363594906332</v>
      </c>
      <c r="S14" s="687">
        <f t="shared" si="23"/>
        <v>73042.363594906332</v>
      </c>
      <c r="T14" s="687">
        <f t="shared" si="23"/>
        <v>73042.363594906332</v>
      </c>
      <c r="U14" s="687">
        <f t="shared" si="23"/>
        <v>73042.363594906332</v>
      </c>
      <c r="V14" s="687">
        <f t="shared" si="23"/>
        <v>73042.363594906332</v>
      </c>
      <c r="W14" s="687">
        <f t="shared" si="23"/>
        <v>73042.363594906332</v>
      </c>
      <c r="X14" s="841">
        <f t="shared" si="21"/>
        <v>1460847.2718981267</v>
      </c>
      <c r="Y14" s="842">
        <f t="shared" si="22"/>
        <v>992669.55826256401</v>
      </c>
    </row>
    <row r="15" spans="1:29" x14ac:dyDescent="0.15">
      <c r="B15" s="694" t="str">
        <f>'Tax Increment Budget'!B57</f>
        <v>Granite School District</v>
      </c>
      <c r="C15" s="686">
        <f>'Tax Increment Budget'!C20</f>
        <v>7.8220000000000008E-3</v>
      </c>
      <c r="D15" s="687">
        <f t="shared" si="19"/>
        <v>1022070.4258306929</v>
      </c>
      <c r="E15" s="687">
        <f t="shared" si="23"/>
        <v>1022070.4258306929</v>
      </c>
      <c r="F15" s="687">
        <f t="shared" si="23"/>
        <v>1022070.4258306929</v>
      </c>
      <c r="G15" s="687">
        <f t="shared" si="23"/>
        <v>1022070.4258306929</v>
      </c>
      <c r="H15" s="687">
        <f t="shared" si="23"/>
        <v>1022070.4258306929</v>
      </c>
      <c r="I15" s="687">
        <f t="shared" si="23"/>
        <v>1022070.4258306929</v>
      </c>
      <c r="J15" s="687">
        <f t="shared" si="23"/>
        <v>1022070.4258306929</v>
      </c>
      <c r="K15" s="687">
        <f t="shared" si="23"/>
        <v>1022070.4258306929</v>
      </c>
      <c r="L15" s="687">
        <f t="shared" si="23"/>
        <v>1022070.4258306929</v>
      </c>
      <c r="M15" s="687">
        <f t="shared" si="23"/>
        <v>1022070.4258306929</v>
      </c>
      <c r="N15" s="687">
        <f t="shared" si="23"/>
        <v>1022070.4258306929</v>
      </c>
      <c r="O15" s="687">
        <f t="shared" si="23"/>
        <v>1022070.4258306929</v>
      </c>
      <c r="P15" s="687">
        <f t="shared" si="23"/>
        <v>1022070.4258306929</v>
      </c>
      <c r="Q15" s="687">
        <f t="shared" si="23"/>
        <v>1022070.4258306929</v>
      </c>
      <c r="R15" s="687">
        <f t="shared" si="23"/>
        <v>1022070.4258306929</v>
      </c>
      <c r="S15" s="687">
        <f t="shared" si="23"/>
        <v>1022070.4258306929</v>
      </c>
      <c r="T15" s="687">
        <f t="shared" si="23"/>
        <v>1022070.4258306929</v>
      </c>
      <c r="U15" s="687">
        <f t="shared" si="23"/>
        <v>1022070.4258306929</v>
      </c>
      <c r="V15" s="687">
        <f t="shared" si="23"/>
        <v>1022070.4258306929</v>
      </c>
      <c r="W15" s="687">
        <f t="shared" si="23"/>
        <v>1022070.4258306929</v>
      </c>
      <c r="X15" s="841">
        <f t="shared" si="21"/>
        <v>20441408.516613849</v>
      </c>
      <c r="Y15" s="842">
        <f t="shared" si="22"/>
        <v>13890270.634579204</v>
      </c>
    </row>
    <row r="16" spans="1:29" s="973" customFormat="1" x14ac:dyDescent="0.15">
      <c r="A16" s="975"/>
      <c r="B16" s="694" t="str">
        <f>'Tax Increment Budget'!B58</f>
        <v>Millcreek City</v>
      </c>
      <c r="C16" s="686">
        <f>'Tax Increment Budget'!C21</f>
        <v>2.0119999999999999E-3</v>
      </c>
      <c r="D16" s="687">
        <f t="shared" si="19"/>
        <v>262900.24249186314</v>
      </c>
      <c r="E16" s="687">
        <f t="shared" si="23"/>
        <v>262900.24249186314</v>
      </c>
      <c r="F16" s="687">
        <f t="shared" si="23"/>
        <v>262900.24249186314</v>
      </c>
      <c r="G16" s="687">
        <f t="shared" si="23"/>
        <v>262900.24249186314</v>
      </c>
      <c r="H16" s="687">
        <f t="shared" si="23"/>
        <v>262900.24249186314</v>
      </c>
      <c r="I16" s="687">
        <f t="shared" si="23"/>
        <v>262900.24249186314</v>
      </c>
      <c r="J16" s="687">
        <f t="shared" si="23"/>
        <v>262900.24249186314</v>
      </c>
      <c r="K16" s="687">
        <f t="shared" si="23"/>
        <v>262900.24249186314</v>
      </c>
      <c r="L16" s="687">
        <f t="shared" si="23"/>
        <v>262900.24249186314</v>
      </c>
      <c r="M16" s="687">
        <f t="shared" si="23"/>
        <v>262900.24249186314</v>
      </c>
      <c r="N16" s="687">
        <f t="shared" si="23"/>
        <v>262900.24249186314</v>
      </c>
      <c r="O16" s="687">
        <f t="shared" si="23"/>
        <v>262900.24249186314</v>
      </c>
      <c r="P16" s="687">
        <f t="shared" si="23"/>
        <v>262900.24249186314</v>
      </c>
      <c r="Q16" s="687">
        <f t="shared" si="23"/>
        <v>262900.24249186314</v>
      </c>
      <c r="R16" s="687">
        <f t="shared" si="23"/>
        <v>262900.24249186314</v>
      </c>
      <c r="S16" s="687">
        <f t="shared" si="23"/>
        <v>262900.24249186314</v>
      </c>
      <c r="T16" s="687">
        <f t="shared" si="23"/>
        <v>262900.24249186314</v>
      </c>
      <c r="U16" s="687">
        <f t="shared" si="23"/>
        <v>262900.24249186314</v>
      </c>
      <c r="V16" s="687">
        <f t="shared" si="23"/>
        <v>262900.24249186314</v>
      </c>
      <c r="W16" s="687">
        <f t="shared" si="23"/>
        <v>262900.24249186314</v>
      </c>
      <c r="X16" s="841">
        <f t="shared" si="21"/>
        <v>5258004.8498372613</v>
      </c>
      <c r="Y16" s="842">
        <f t="shared" si="22"/>
        <v>3572900.0916355602</v>
      </c>
      <c r="Z16" s="975"/>
    </row>
    <row r="17" spans="1:29" s="973" customFormat="1" x14ac:dyDescent="0.15">
      <c r="A17" s="975"/>
      <c r="B17" s="694" t="str">
        <f>'Tax Increment Budget'!B59</f>
        <v>South Salt Lake Valley Mosquito Abatement District</v>
      </c>
      <c r="C17" s="686">
        <f>'Tax Increment Budget'!C22</f>
        <v>1.5E-5</v>
      </c>
      <c r="D17" s="687">
        <f t="shared" si="19"/>
        <v>1959.9918674840694</v>
      </c>
      <c r="E17" s="687">
        <f t="shared" si="23"/>
        <v>1959.9918674840694</v>
      </c>
      <c r="F17" s="687">
        <f t="shared" si="23"/>
        <v>1959.9918674840694</v>
      </c>
      <c r="G17" s="687">
        <f t="shared" si="23"/>
        <v>1959.9918674840694</v>
      </c>
      <c r="H17" s="687">
        <f t="shared" si="23"/>
        <v>1959.9918674840694</v>
      </c>
      <c r="I17" s="687">
        <f t="shared" si="23"/>
        <v>1959.9918674840694</v>
      </c>
      <c r="J17" s="687">
        <f t="shared" si="23"/>
        <v>1959.9918674840694</v>
      </c>
      <c r="K17" s="687">
        <f t="shared" si="23"/>
        <v>1959.9918674840694</v>
      </c>
      <c r="L17" s="687">
        <f t="shared" si="23"/>
        <v>1959.9918674840694</v>
      </c>
      <c r="M17" s="687">
        <f t="shared" si="23"/>
        <v>1959.9918674840694</v>
      </c>
      <c r="N17" s="687">
        <f t="shared" si="23"/>
        <v>1959.9918674840694</v>
      </c>
      <c r="O17" s="687">
        <f t="shared" si="23"/>
        <v>1959.9918674840694</v>
      </c>
      <c r="P17" s="687">
        <f t="shared" si="23"/>
        <v>1959.9918674840694</v>
      </c>
      <c r="Q17" s="687">
        <f t="shared" si="23"/>
        <v>1959.9918674840694</v>
      </c>
      <c r="R17" s="687">
        <f t="shared" si="23"/>
        <v>1959.9918674840694</v>
      </c>
      <c r="S17" s="687">
        <f t="shared" si="23"/>
        <v>1959.9918674840694</v>
      </c>
      <c r="T17" s="687">
        <f t="shared" si="23"/>
        <v>1959.9918674840694</v>
      </c>
      <c r="U17" s="687">
        <f t="shared" si="23"/>
        <v>1959.9918674840694</v>
      </c>
      <c r="V17" s="687">
        <f t="shared" si="23"/>
        <v>1959.9918674840694</v>
      </c>
      <c r="W17" s="687">
        <f t="shared" si="23"/>
        <v>1959.9918674840694</v>
      </c>
      <c r="X17" s="841">
        <f t="shared" si="21"/>
        <v>39199.837349681387</v>
      </c>
      <c r="Y17" s="842">
        <f t="shared" si="22"/>
        <v>26636.929112591159</v>
      </c>
      <c r="Z17" s="975"/>
    </row>
    <row r="18" spans="1:29" x14ac:dyDescent="0.15">
      <c r="A18" s="28"/>
      <c r="B18" s="694" t="str">
        <f>'Tax Increment Budget'!B60</f>
        <v>Mt. Olympus Improvement District</v>
      </c>
      <c r="C18" s="686">
        <f>'Tax Increment Budget'!C23</f>
        <v>2.7900000000000001E-4</v>
      </c>
      <c r="D18" s="687">
        <f t="shared" si="19"/>
        <v>36455.84873520369</v>
      </c>
      <c r="E18" s="687">
        <f t="shared" si="23"/>
        <v>36455.84873520369</v>
      </c>
      <c r="F18" s="687">
        <f t="shared" si="23"/>
        <v>36455.84873520369</v>
      </c>
      <c r="G18" s="687">
        <f t="shared" si="23"/>
        <v>36455.84873520369</v>
      </c>
      <c r="H18" s="687">
        <f t="shared" si="23"/>
        <v>36455.84873520369</v>
      </c>
      <c r="I18" s="687">
        <f t="shared" si="23"/>
        <v>36455.84873520369</v>
      </c>
      <c r="J18" s="687">
        <f t="shared" si="23"/>
        <v>36455.84873520369</v>
      </c>
      <c r="K18" s="687">
        <f t="shared" si="23"/>
        <v>36455.84873520369</v>
      </c>
      <c r="L18" s="687">
        <f t="shared" si="23"/>
        <v>36455.84873520369</v>
      </c>
      <c r="M18" s="687">
        <f t="shared" si="23"/>
        <v>36455.84873520369</v>
      </c>
      <c r="N18" s="687">
        <f t="shared" si="23"/>
        <v>36455.84873520369</v>
      </c>
      <c r="O18" s="687">
        <f t="shared" si="23"/>
        <v>36455.84873520369</v>
      </c>
      <c r="P18" s="687">
        <f t="shared" si="23"/>
        <v>36455.84873520369</v>
      </c>
      <c r="Q18" s="687">
        <f t="shared" si="23"/>
        <v>36455.84873520369</v>
      </c>
      <c r="R18" s="687">
        <f t="shared" si="23"/>
        <v>36455.84873520369</v>
      </c>
      <c r="S18" s="687">
        <f t="shared" si="23"/>
        <v>36455.84873520369</v>
      </c>
      <c r="T18" s="687">
        <f t="shared" si="23"/>
        <v>36455.84873520369</v>
      </c>
      <c r="U18" s="687">
        <f t="shared" si="23"/>
        <v>36455.84873520369</v>
      </c>
      <c r="V18" s="687">
        <f t="shared" si="23"/>
        <v>36455.84873520369</v>
      </c>
      <c r="W18" s="687">
        <f t="shared" si="23"/>
        <v>36455.84873520369</v>
      </c>
      <c r="X18" s="841">
        <f t="shared" si="21"/>
        <v>729116.97470407386</v>
      </c>
      <c r="Y18" s="842">
        <f t="shared" si="22"/>
        <v>495446.88149419549</v>
      </c>
    </row>
    <row r="19" spans="1:29" s="973" customFormat="1" x14ac:dyDescent="0.15">
      <c r="A19" s="28"/>
      <c r="B19" s="694" t="str">
        <f>'Tax Increment Budget'!B61</f>
        <v>Central Utah Water Conservancy District</v>
      </c>
      <c r="C19" s="686">
        <f>'Tax Increment Budget'!C24</f>
        <v>4.0000000000000002E-4</v>
      </c>
      <c r="D19" s="687">
        <f t="shared" si="19"/>
        <v>52266.449799575188</v>
      </c>
      <c r="E19" s="687">
        <f t="shared" si="23"/>
        <v>52266.449799575188</v>
      </c>
      <c r="F19" s="687">
        <f t="shared" si="23"/>
        <v>52266.449799575188</v>
      </c>
      <c r="G19" s="687">
        <f t="shared" si="23"/>
        <v>52266.449799575188</v>
      </c>
      <c r="H19" s="687">
        <f t="shared" si="23"/>
        <v>52266.449799575188</v>
      </c>
      <c r="I19" s="687">
        <f t="shared" si="23"/>
        <v>52266.449799575188</v>
      </c>
      <c r="J19" s="687">
        <f t="shared" si="23"/>
        <v>52266.449799575188</v>
      </c>
      <c r="K19" s="687">
        <f t="shared" si="23"/>
        <v>52266.449799575188</v>
      </c>
      <c r="L19" s="687">
        <f t="shared" si="23"/>
        <v>52266.449799575188</v>
      </c>
      <c r="M19" s="687">
        <f t="shared" si="23"/>
        <v>52266.449799575188</v>
      </c>
      <c r="N19" s="687">
        <f t="shared" si="23"/>
        <v>52266.449799575188</v>
      </c>
      <c r="O19" s="687">
        <f t="shared" si="23"/>
        <v>52266.449799575188</v>
      </c>
      <c r="P19" s="687">
        <f t="shared" si="23"/>
        <v>52266.449799575188</v>
      </c>
      <c r="Q19" s="687">
        <f t="shared" si="23"/>
        <v>52266.449799575188</v>
      </c>
      <c r="R19" s="687">
        <f t="shared" si="23"/>
        <v>52266.449799575188</v>
      </c>
      <c r="S19" s="687">
        <f t="shared" si="23"/>
        <v>52266.449799575188</v>
      </c>
      <c r="T19" s="687">
        <f t="shared" si="23"/>
        <v>52266.449799575188</v>
      </c>
      <c r="U19" s="687">
        <f t="shared" si="23"/>
        <v>52266.449799575188</v>
      </c>
      <c r="V19" s="687">
        <f t="shared" si="23"/>
        <v>52266.449799575188</v>
      </c>
      <c r="W19" s="687">
        <f t="shared" si="23"/>
        <v>52266.449799575188</v>
      </c>
      <c r="X19" s="841">
        <f t="shared" si="21"/>
        <v>1045328.9959915035</v>
      </c>
      <c r="Y19" s="842">
        <f t="shared" si="22"/>
        <v>710318.10966909758</v>
      </c>
      <c r="Z19" s="975"/>
    </row>
    <row r="20" spans="1:29" x14ac:dyDescent="0.15">
      <c r="A20" s="28"/>
      <c r="B20" s="694" t="str">
        <f>'Tax Increment Budget'!B62</f>
        <v>Unified Fire Service Area</v>
      </c>
      <c r="C20" s="686">
        <f>'Tax Increment Budget'!C25</f>
        <v>1.8580000000000001E-3</v>
      </c>
      <c r="D20" s="687">
        <f t="shared" si="19"/>
        <v>242777.65931902674</v>
      </c>
      <c r="E20" s="687">
        <f t="shared" si="23"/>
        <v>242777.65931902674</v>
      </c>
      <c r="F20" s="687">
        <f t="shared" si="23"/>
        <v>242777.65931902674</v>
      </c>
      <c r="G20" s="687">
        <f t="shared" si="23"/>
        <v>242777.65931902674</v>
      </c>
      <c r="H20" s="687">
        <f t="shared" si="23"/>
        <v>242777.65931902674</v>
      </c>
      <c r="I20" s="687">
        <f t="shared" si="23"/>
        <v>242777.65931902674</v>
      </c>
      <c r="J20" s="687">
        <f t="shared" si="23"/>
        <v>242777.65931902674</v>
      </c>
      <c r="K20" s="687">
        <f t="shared" si="23"/>
        <v>242777.65931902674</v>
      </c>
      <c r="L20" s="687">
        <f t="shared" si="23"/>
        <v>242777.65931902674</v>
      </c>
      <c r="M20" s="687">
        <f t="shared" si="23"/>
        <v>242777.65931902674</v>
      </c>
      <c r="N20" s="687">
        <f t="shared" si="23"/>
        <v>242777.65931902674</v>
      </c>
      <c r="O20" s="687">
        <f t="shared" si="23"/>
        <v>242777.65931902674</v>
      </c>
      <c r="P20" s="687">
        <f t="shared" si="23"/>
        <v>242777.65931902674</v>
      </c>
      <c r="Q20" s="687">
        <f t="shared" si="23"/>
        <v>242777.65931902674</v>
      </c>
      <c r="R20" s="687">
        <f t="shared" si="23"/>
        <v>242777.65931902674</v>
      </c>
      <c r="S20" s="687">
        <f t="shared" si="23"/>
        <v>242777.65931902674</v>
      </c>
      <c r="T20" s="687">
        <f t="shared" si="23"/>
        <v>242777.65931902674</v>
      </c>
      <c r="U20" s="687">
        <f t="shared" si="23"/>
        <v>242777.65931902674</v>
      </c>
      <c r="V20" s="687">
        <f t="shared" si="23"/>
        <v>242777.65931902674</v>
      </c>
      <c r="W20" s="687">
        <f t="shared" si="23"/>
        <v>242777.65931902674</v>
      </c>
      <c r="X20" s="841">
        <f t="shared" si="21"/>
        <v>4855553.1863805354</v>
      </c>
      <c r="Y20" s="842">
        <f t="shared" si="22"/>
        <v>3299427.6194129577</v>
      </c>
    </row>
    <row r="21" spans="1:29" ht="15.75" customHeight="1" x14ac:dyDescent="0.15">
      <c r="A21" s="28"/>
      <c r="B21" s="832" t="s">
        <v>0</v>
      </c>
      <c r="C21" s="833">
        <f>SUM(C13:C20)</f>
        <v>1.4969999999999999E-2</v>
      </c>
      <c r="D21" s="834">
        <f t="shared" ref="D21:P21" si="24">SUM(D13:D20)</f>
        <v>1956071.8837491013</v>
      </c>
      <c r="E21" s="834">
        <f t="shared" si="24"/>
        <v>1956071.8837491013</v>
      </c>
      <c r="F21" s="834">
        <f t="shared" si="24"/>
        <v>1956071.8837491013</v>
      </c>
      <c r="G21" s="834">
        <f t="shared" si="24"/>
        <v>1956071.8837491013</v>
      </c>
      <c r="H21" s="834">
        <f t="shared" si="24"/>
        <v>1956071.8837491013</v>
      </c>
      <c r="I21" s="834">
        <f t="shared" si="24"/>
        <v>1956071.8837491013</v>
      </c>
      <c r="J21" s="834">
        <f t="shared" si="24"/>
        <v>1956071.8837491013</v>
      </c>
      <c r="K21" s="834">
        <f t="shared" si="24"/>
        <v>1956071.8837491013</v>
      </c>
      <c r="L21" s="834">
        <f t="shared" si="24"/>
        <v>1956071.8837491013</v>
      </c>
      <c r="M21" s="834">
        <f t="shared" si="24"/>
        <v>1956071.8837491013</v>
      </c>
      <c r="N21" s="834">
        <f t="shared" si="24"/>
        <v>1956071.8837491013</v>
      </c>
      <c r="O21" s="834">
        <f t="shared" si="24"/>
        <v>1956071.8837491013</v>
      </c>
      <c r="P21" s="834">
        <f t="shared" si="24"/>
        <v>1956071.8837491013</v>
      </c>
      <c r="Q21" s="834">
        <f t="shared" ref="Q21:W21" si="25">SUM(Q13:Q20)</f>
        <v>1956071.8837491013</v>
      </c>
      <c r="R21" s="834">
        <f t="shared" si="25"/>
        <v>1956071.8837491013</v>
      </c>
      <c r="S21" s="834">
        <f t="shared" si="25"/>
        <v>1956071.8837491013</v>
      </c>
      <c r="T21" s="834">
        <f t="shared" si="25"/>
        <v>1956071.8837491013</v>
      </c>
      <c r="U21" s="834">
        <f t="shared" si="25"/>
        <v>1956071.8837491013</v>
      </c>
      <c r="V21" s="834">
        <f t="shared" si="25"/>
        <v>1956071.8837491013</v>
      </c>
      <c r="W21" s="834">
        <f t="shared" si="25"/>
        <v>1956071.8837491013</v>
      </c>
      <c r="X21" s="843">
        <f t="shared" si="21"/>
        <v>39121437.674982026</v>
      </c>
      <c r="Y21" s="844">
        <f t="shared" si="22"/>
        <v>26583655.254365973</v>
      </c>
    </row>
    <row r="22" spans="1:29" ht="12" thickBot="1" x14ac:dyDescent="0.2">
      <c r="B22" s="695" t="s">
        <v>1374</v>
      </c>
      <c r="C22" s="688"/>
      <c r="D22" s="707">
        <f t="shared" ref="D22:P22" si="26">D21</f>
        <v>1956071.8837491013</v>
      </c>
      <c r="E22" s="707">
        <f t="shared" si="26"/>
        <v>1956071.8837491013</v>
      </c>
      <c r="F22" s="707">
        <f t="shared" si="26"/>
        <v>1956071.8837491013</v>
      </c>
      <c r="G22" s="707">
        <f t="shared" si="26"/>
        <v>1956071.8837491013</v>
      </c>
      <c r="H22" s="707">
        <f t="shared" si="26"/>
        <v>1956071.8837491013</v>
      </c>
      <c r="I22" s="707">
        <f t="shared" si="26"/>
        <v>1956071.8837491013</v>
      </c>
      <c r="J22" s="707">
        <f t="shared" si="26"/>
        <v>1956071.8837491013</v>
      </c>
      <c r="K22" s="707">
        <f t="shared" si="26"/>
        <v>1956071.8837491013</v>
      </c>
      <c r="L22" s="707">
        <f t="shared" si="26"/>
        <v>1956071.8837491013</v>
      </c>
      <c r="M22" s="707">
        <f t="shared" si="26"/>
        <v>1956071.8837491013</v>
      </c>
      <c r="N22" s="707">
        <f t="shared" si="26"/>
        <v>1956071.8837491013</v>
      </c>
      <c r="O22" s="707">
        <f t="shared" si="26"/>
        <v>1956071.8837491013</v>
      </c>
      <c r="P22" s="707">
        <f t="shared" si="26"/>
        <v>1956071.8837491013</v>
      </c>
      <c r="Q22" s="707">
        <f t="shared" ref="Q22:W22" si="27">Q21</f>
        <v>1956071.8837491013</v>
      </c>
      <c r="R22" s="707">
        <f t="shared" si="27"/>
        <v>1956071.8837491013</v>
      </c>
      <c r="S22" s="707">
        <f t="shared" si="27"/>
        <v>1956071.8837491013</v>
      </c>
      <c r="T22" s="707">
        <f t="shared" si="27"/>
        <v>1956071.8837491013</v>
      </c>
      <c r="U22" s="707">
        <f t="shared" si="27"/>
        <v>1956071.8837491013</v>
      </c>
      <c r="V22" s="707">
        <f t="shared" si="27"/>
        <v>1956071.8837491013</v>
      </c>
      <c r="W22" s="707">
        <f t="shared" si="27"/>
        <v>1956071.8837491013</v>
      </c>
      <c r="X22" s="846">
        <f t="shared" si="21"/>
        <v>39121437.674982026</v>
      </c>
      <c r="Y22" s="847">
        <f t="shared" si="22"/>
        <v>26583655.254365973</v>
      </c>
    </row>
    <row r="23" spans="1:29" x14ac:dyDescent="0.15">
      <c r="B23" s="689"/>
      <c r="C23" s="574"/>
      <c r="D23" s="575"/>
      <c r="E23" s="575"/>
      <c r="F23" s="575"/>
      <c r="G23" s="575"/>
      <c r="H23" s="575"/>
      <c r="I23" s="575"/>
      <c r="J23" s="575"/>
      <c r="K23" s="575"/>
      <c r="L23" s="575"/>
      <c r="M23" s="575"/>
      <c r="N23" s="575"/>
      <c r="O23" s="575"/>
      <c r="P23" s="575"/>
      <c r="Q23" s="886"/>
      <c r="R23" s="886"/>
      <c r="S23" s="886"/>
      <c r="T23" s="886"/>
      <c r="U23" s="886"/>
      <c r="V23" s="886"/>
      <c r="W23" s="886"/>
      <c r="X23" s="835"/>
      <c r="Y23" s="835"/>
    </row>
    <row r="24" spans="1:29" s="574" customFormat="1" ht="6" customHeight="1" x14ac:dyDescent="0.15">
      <c r="B24" s="566"/>
      <c r="C24" s="566"/>
      <c r="D24" s="566"/>
      <c r="E24" s="566"/>
      <c r="F24" s="566"/>
      <c r="G24" s="600"/>
      <c r="H24" s="566"/>
      <c r="I24" s="566"/>
      <c r="J24" s="566"/>
      <c r="K24" s="566"/>
      <c r="L24" s="566"/>
      <c r="M24" s="566"/>
      <c r="N24" s="566"/>
      <c r="O24" s="566"/>
      <c r="P24" s="566"/>
      <c r="Q24" s="973"/>
      <c r="R24" s="973"/>
      <c r="S24" s="973"/>
      <c r="T24" s="973"/>
      <c r="U24" s="973"/>
      <c r="V24" s="973"/>
      <c r="W24" s="973"/>
      <c r="X24" s="827"/>
      <c r="Y24" s="827"/>
      <c r="AA24" s="566"/>
      <c r="AB24" s="566"/>
      <c r="AC24" s="566"/>
    </row>
    <row r="25" spans="1:29" x14ac:dyDescent="0.15">
      <c r="B25" s="813" t="s">
        <v>1376</v>
      </c>
      <c r="C25" s="813"/>
      <c r="D25" s="569"/>
      <c r="E25" s="569"/>
      <c r="F25" s="823"/>
      <c r="G25" s="823"/>
      <c r="H25" s="823"/>
      <c r="I25" s="823"/>
      <c r="J25" s="823"/>
      <c r="K25" s="823"/>
      <c r="L25" s="823"/>
      <c r="M25" s="823"/>
      <c r="N25" s="823"/>
      <c r="O25" s="823"/>
      <c r="P25" s="823"/>
      <c r="Q25" s="823"/>
      <c r="R25" s="823"/>
      <c r="S25" s="823"/>
      <c r="T25" s="823"/>
      <c r="U25" s="823"/>
      <c r="V25" s="823"/>
      <c r="W25" s="823"/>
      <c r="X25" s="848"/>
      <c r="Y25" s="848"/>
      <c r="Z25" s="575"/>
    </row>
    <row r="26" spans="1:29" x14ac:dyDescent="0.15">
      <c r="B26" s="566" t="str">
        <f>B13</f>
        <v>Salt Lake County</v>
      </c>
      <c r="D26" s="594">
        <f>'Tax Increment Budget'!E55</f>
        <v>16937.548649801261</v>
      </c>
      <c r="E26" s="1083">
        <f>'Tax Increment Budget'!F55</f>
        <v>34493.1577418464</v>
      </c>
      <c r="F26" s="1083">
        <f>'Tax Increment Budget'!G55</f>
        <v>38083.945677392723</v>
      </c>
      <c r="G26" s="1083">
        <f>'Tax Increment Budget'!H55</f>
        <v>44182.889344817842</v>
      </c>
      <c r="H26" s="1083">
        <f>'Tax Increment Budget'!I55</f>
        <v>49675.187842844694</v>
      </c>
      <c r="I26" s="1083">
        <f>'Tax Increment Budget'!J55</f>
        <v>55700.734523886611</v>
      </c>
      <c r="J26" s="1083">
        <f>'Tax Increment Budget'!K55</f>
        <v>60123.703745553445</v>
      </c>
      <c r="K26" s="1083">
        <f>'Tax Increment Budget'!L55</f>
        <v>64657.212579524843</v>
      </c>
      <c r="L26" s="1083">
        <f>'Tax Increment Budget'!M55</f>
        <v>69422.146318162646</v>
      </c>
      <c r="M26" s="1083">
        <f>'Tax Increment Budget'!N55</f>
        <v>74663.840826702653</v>
      </c>
      <c r="N26" s="1083">
        <f>'Tax Increment Budget'!O55</f>
        <v>81589.207224198821</v>
      </c>
      <c r="O26" s="1083">
        <f>'Tax Increment Budget'!P55</f>
        <v>87000.921047157404</v>
      </c>
      <c r="P26" s="1083">
        <f>'Tax Increment Budget'!Q55</f>
        <v>92527.233172289212</v>
      </c>
      <c r="Q26" s="1083">
        <f>'Tax Increment Budget'!R55</f>
        <v>92527.233172289212</v>
      </c>
      <c r="R26" s="1083">
        <f>'Tax Increment Budget'!S55</f>
        <v>92527.233172289212</v>
      </c>
      <c r="S26" s="1083">
        <f>'Tax Increment Budget'!T55</f>
        <v>92527.233172289212</v>
      </c>
      <c r="T26" s="1083">
        <f>'Tax Increment Budget'!U55</f>
        <v>92527.233172289212</v>
      </c>
      <c r="U26" s="1083">
        <f>'Tax Increment Budget'!V55</f>
        <v>92527.233172289212</v>
      </c>
      <c r="V26" s="1083">
        <f>'Tax Increment Budget'!W55</f>
        <v>92527.233172289212</v>
      </c>
      <c r="W26" s="1083">
        <f>'Tax Increment Budget'!X55</f>
        <v>92527.233172289212</v>
      </c>
      <c r="X26" s="849">
        <f t="shared" ref="X26:X34" si="28">SUM(D26:W26)</f>
        <v>1416748.3609002028</v>
      </c>
      <c r="Y26" s="845">
        <f t="shared" ref="Y26:Y34" si="29">NPV($H$2,D26:W26)</f>
        <v>893240.11716910463</v>
      </c>
      <c r="Z26" s="595"/>
    </row>
    <row r="27" spans="1:29" x14ac:dyDescent="0.15">
      <c r="B27" s="973" t="str">
        <f t="shared" ref="B27:B33" si="30">B14</f>
        <v>Salt Lake County Library</v>
      </c>
      <c r="C27" s="574"/>
      <c r="D27" s="1083">
        <f>'Tax Increment Budget'!E56</f>
        <v>4675.5998495006934</v>
      </c>
      <c r="E27" s="1083">
        <f>'Tax Increment Budget'!F56</f>
        <v>9521.8149025640232</v>
      </c>
      <c r="F27" s="1083">
        <f>'Tax Increment Budget'!G56</f>
        <v>10513.049695635818</v>
      </c>
      <c r="G27" s="1083">
        <f>'Tax Increment Budget'!H56</f>
        <v>12196.659330248483</v>
      </c>
      <c r="H27" s="1083">
        <f>'Tax Increment Budget'!I56</f>
        <v>13712.804940321083</v>
      </c>
      <c r="I27" s="1083">
        <f>'Tax Increment Budget'!J56</f>
        <v>15376.153382149445</v>
      </c>
      <c r="J27" s="1083">
        <f>'Tax Increment Budget'!K56</f>
        <v>16597.111305562663</v>
      </c>
      <c r="K27" s="1083">
        <f>'Tax Increment Budget'!L56</f>
        <v>17848.583620718215</v>
      </c>
      <c r="L27" s="1083">
        <f>'Tax Increment Budget'!M56</f>
        <v>19163.940637952066</v>
      </c>
      <c r="M27" s="1083">
        <f>'Tax Increment Budget'!N56</f>
        <v>20610.907171420629</v>
      </c>
      <c r="N27" s="1083">
        <f>'Tax Increment Budget'!O56</f>
        <v>22522.650290531921</v>
      </c>
      <c r="O27" s="1083">
        <f>'Tax Increment Budget'!P56</f>
        <v>24016.550550795553</v>
      </c>
      <c r="P27" s="1083">
        <f>'Tax Increment Budget'!Q56</f>
        <v>25542.085601634419</v>
      </c>
      <c r="Q27" s="1083">
        <f>'Tax Increment Budget'!R56</f>
        <v>25542.085601634419</v>
      </c>
      <c r="R27" s="1083">
        <f>'Tax Increment Budget'!S56</f>
        <v>25542.085601634419</v>
      </c>
      <c r="S27" s="1083">
        <f>'Tax Increment Budget'!T56</f>
        <v>25542.085601634419</v>
      </c>
      <c r="T27" s="1083">
        <f>'Tax Increment Budget'!U56</f>
        <v>25542.085601634419</v>
      </c>
      <c r="U27" s="1083">
        <f>'Tax Increment Budget'!V56</f>
        <v>25542.085601634419</v>
      </c>
      <c r="V27" s="1083">
        <f>'Tax Increment Budget'!W56</f>
        <v>25542.085601634419</v>
      </c>
      <c r="W27" s="1083">
        <f>'Tax Increment Budget'!X56</f>
        <v>25542.085601634419</v>
      </c>
      <c r="X27" s="849">
        <f t="shared" si="28"/>
        <v>391092.5104904758</v>
      </c>
      <c r="Y27" s="845">
        <f t="shared" si="29"/>
        <v>246578.38296174305</v>
      </c>
    </row>
    <row r="28" spans="1:29" x14ac:dyDescent="0.15">
      <c r="B28" s="973" t="str">
        <f t="shared" si="30"/>
        <v>Granite School District</v>
      </c>
      <c r="D28" s="1083">
        <f>'Tax Increment Budget'!E57</f>
        <v>52339.952805430308</v>
      </c>
      <c r="E28" s="1083">
        <f>'Tax Increment Budget'!F57</f>
        <v>106589.81920265581</v>
      </c>
      <c r="F28" s="1083">
        <f>'Tax Increment Budget'!G57</f>
        <v>117685.97455350752</v>
      </c>
      <c r="G28" s="1083">
        <f>'Tax Increment Budget'!H57</f>
        <v>136532.76462426281</v>
      </c>
      <c r="H28" s="1083">
        <f>'Tax Increment Budget'!I57</f>
        <v>153504.916269326</v>
      </c>
      <c r="I28" s="1083">
        <f>'Tax Increment Budget'!J57</f>
        <v>172124.89696625818</v>
      </c>
      <c r="J28" s="1083">
        <f>'Tax Increment Budget'!K57</f>
        <v>185792.63632502488</v>
      </c>
      <c r="K28" s="1083">
        <f>'Tax Increment Budget'!L57</f>
        <v>199801.96219142457</v>
      </c>
      <c r="L28" s="1083">
        <f>'Tax Increment Budget'!M57</f>
        <v>214526.43101260974</v>
      </c>
      <c r="M28" s="1083">
        <f>'Tax Increment Budget'!N57</f>
        <v>230724.17301588855</v>
      </c>
      <c r="N28" s="1083">
        <f>'Tax Increment Budget'!O57</f>
        <v>252124.75216105999</v>
      </c>
      <c r="O28" s="1083">
        <f>'Tax Increment Budget'!P57</f>
        <v>268847.88323194673</v>
      </c>
      <c r="P28" s="1083">
        <f>'Tax Increment Budget'!Q57</f>
        <v>285925.14286366268</v>
      </c>
      <c r="Q28" s="1083">
        <f>'Tax Increment Budget'!R57</f>
        <v>285925.14286366268</v>
      </c>
      <c r="R28" s="1083">
        <f>'Tax Increment Budget'!S57</f>
        <v>285925.14286366268</v>
      </c>
      <c r="S28" s="1083">
        <f>'Tax Increment Budget'!T57</f>
        <v>285925.14286366268</v>
      </c>
      <c r="T28" s="1083">
        <f>'Tax Increment Budget'!U57</f>
        <v>285925.14286366268</v>
      </c>
      <c r="U28" s="1083">
        <f>'Tax Increment Budget'!V57</f>
        <v>285925.14286366268</v>
      </c>
      <c r="V28" s="1083">
        <f>'Tax Increment Budget'!W57</f>
        <v>285925.14286366268</v>
      </c>
      <c r="W28" s="1083">
        <f>'Tax Increment Budget'!X57</f>
        <v>285925.14286366268</v>
      </c>
      <c r="X28" s="849">
        <f t="shared" si="28"/>
        <v>4377997.3052686984</v>
      </c>
      <c r="Y28" s="845">
        <f t="shared" si="29"/>
        <v>2760266.349233279</v>
      </c>
      <c r="Z28" s="595"/>
    </row>
    <row r="29" spans="1:29" s="973" customFormat="1" x14ac:dyDescent="0.15">
      <c r="A29" s="975"/>
      <c r="B29" s="973" t="str">
        <f t="shared" si="30"/>
        <v>Millcreek City</v>
      </c>
      <c r="D29" s="1083">
        <f>'Tax Increment Budget'!E58</f>
        <v>13463.051015664249</v>
      </c>
      <c r="E29" s="1083">
        <f>'Tax Increment Budget'!F58</f>
        <v>27417.376148778261</v>
      </c>
      <c r="F29" s="1083">
        <f>'Tax Increment Budget'!G58</f>
        <v>30271.564919669792</v>
      </c>
      <c r="G29" s="1083">
        <f>'Tax Increment Budget'!H58</f>
        <v>35119.396883663605</v>
      </c>
      <c r="H29" s="1083">
        <f>'Tax Increment Budget'!I58</f>
        <v>39485.028321897698</v>
      </c>
      <c r="I29" s="1083">
        <f>'Tax Increment Budget'!J58</f>
        <v>44274.519649208814</v>
      </c>
      <c r="J29" s="1083">
        <f>'Tax Increment Budget'!K58</f>
        <v>47790.179530292749</v>
      </c>
      <c r="K29" s="1083">
        <f>'Tax Increment Budget'!L58</f>
        <v>51393.703391606512</v>
      </c>
      <c r="L29" s="1083">
        <f>'Tax Increment Budget'!M58</f>
        <v>55181.178624056571</v>
      </c>
      <c r="M29" s="1083">
        <f>'Tax Increment Budget'!N58</f>
        <v>59347.613923289144</v>
      </c>
      <c r="N29" s="1083">
        <f>'Tax Increment Budget'!O58</f>
        <v>64852.339727442159</v>
      </c>
      <c r="O29" s="1083">
        <f>'Tax Increment Budget'!P58</f>
        <v>69153.917292594851</v>
      </c>
      <c r="P29" s="1083">
        <f>'Tax Increment Budget'!Q58</f>
        <v>73546.584945242852</v>
      </c>
      <c r="Q29" s="1083">
        <f>'Tax Increment Budget'!R58</f>
        <v>73546.584945242852</v>
      </c>
      <c r="R29" s="1083">
        <f>'Tax Increment Budget'!S58</f>
        <v>73546.584945242852</v>
      </c>
      <c r="S29" s="1083">
        <f>'Tax Increment Budget'!T58</f>
        <v>73546.584945242852</v>
      </c>
      <c r="T29" s="1083">
        <f>'Tax Increment Budget'!U58</f>
        <v>73546.584945242852</v>
      </c>
      <c r="U29" s="1083">
        <f>'Tax Increment Budget'!V58</f>
        <v>73546.584945242852</v>
      </c>
      <c r="V29" s="1083">
        <f>'Tax Increment Budget'!W58</f>
        <v>73546.584945242852</v>
      </c>
      <c r="W29" s="1083">
        <f>'Tax Increment Budget'!X58</f>
        <v>73546.584945242852</v>
      </c>
      <c r="X29" s="849">
        <f t="shared" si="28"/>
        <v>1126122.5489901071</v>
      </c>
      <c r="Y29" s="845">
        <f t="shared" si="29"/>
        <v>710004.58893599559</v>
      </c>
      <c r="Z29" s="595"/>
    </row>
    <row r="30" spans="1:29" s="973" customFormat="1" x14ac:dyDescent="0.15">
      <c r="A30" s="975"/>
      <c r="B30" s="973" t="str">
        <f t="shared" si="30"/>
        <v>South Salt Lake Valley Mosquito Abatement District</v>
      </c>
      <c r="D30" s="1083">
        <f>'Tax Increment Budget'!E59</f>
        <v>100.37065866548892</v>
      </c>
      <c r="E30" s="1083">
        <f>'Tax Increment Budget'!F59</f>
        <v>204.40389772946014</v>
      </c>
      <c r="F30" s="1083">
        <f>'Tax Increment Budget'!G59</f>
        <v>225.68264105121614</v>
      </c>
      <c r="G30" s="1083">
        <f>'Tax Increment Budget'!H59</f>
        <v>261.82452945077239</v>
      </c>
      <c r="H30" s="1083">
        <f>'Tax Increment Budget'!I59</f>
        <v>294.37148351315386</v>
      </c>
      <c r="I30" s="1083">
        <f>'Tax Increment Budget'!J59</f>
        <v>330.07842680821682</v>
      </c>
      <c r="J30" s="1083">
        <f>'Tax Increment Budget'!K59</f>
        <v>356.28861478846488</v>
      </c>
      <c r="K30" s="1083">
        <f>'Tax Increment Budget'!L59</f>
        <v>383.15385232311019</v>
      </c>
      <c r="L30" s="1083">
        <f>'Tax Increment Budget'!M59</f>
        <v>411.39049670022314</v>
      </c>
      <c r="M30" s="1083">
        <f>'Tax Increment Budget'!N59</f>
        <v>442.45239008416365</v>
      </c>
      <c r="N30" s="1083">
        <f>'Tax Increment Budget'!O59</f>
        <v>483.49159836562262</v>
      </c>
      <c r="O30" s="1083">
        <f>'Tax Increment Budget'!P59</f>
        <v>515.56101361278434</v>
      </c>
      <c r="P30" s="1083">
        <f>'Tax Increment Budget'!Q59</f>
        <v>548.30952990986225</v>
      </c>
      <c r="Q30" s="1083">
        <f>'Tax Increment Budget'!R59</f>
        <v>548.30952990986225</v>
      </c>
      <c r="R30" s="1083">
        <f>'Tax Increment Budget'!S59</f>
        <v>548.30952990986225</v>
      </c>
      <c r="S30" s="1083">
        <f>'Tax Increment Budget'!T59</f>
        <v>548.30952990986225</v>
      </c>
      <c r="T30" s="1083">
        <f>'Tax Increment Budget'!U59</f>
        <v>548.30952990986225</v>
      </c>
      <c r="U30" s="1083">
        <f>'Tax Increment Budget'!V59</f>
        <v>548.30952990986225</v>
      </c>
      <c r="V30" s="1083">
        <f>'Tax Increment Budget'!W59</f>
        <v>548.30952990986225</v>
      </c>
      <c r="W30" s="1083">
        <f>'Tax Increment Budget'!X59</f>
        <v>548.30952990986225</v>
      </c>
      <c r="X30" s="849">
        <f t="shared" si="28"/>
        <v>8395.5458423715754</v>
      </c>
      <c r="Y30" s="845">
        <f t="shared" si="29"/>
        <v>5293.2747684095102</v>
      </c>
      <c r="Z30" s="595"/>
    </row>
    <row r="31" spans="1:29" x14ac:dyDescent="0.15">
      <c r="B31" s="973" t="str">
        <f t="shared" si="30"/>
        <v>Mt. Olympus Improvement District</v>
      </c>
      <c r="D31" s="1083">
        <f>'Tax Increment Budget'!E60</f>
        <v>1866.8942511780942</v>
      </c>
      <c r="E31" s="1083">
        <f>'Tax Increment Budget'!F60</f>
        <v>3801.9124977679603</v>
      </c>
      <c r="F31" s="1083">
        <f>'Tax Increment Budget'!G60</f>
        <v>4197.6971235526216</v>
      </c>
      <c r="G31" s="1083">
        <f>'Tax Increment Budget'!H60</f>
        <v>4869.9362477843679</v>
      </c>
      <c r="H31" s="1083">
        <f>'Tax Increment Budget'!I60</f>
        <v>5475.3095933446602</v>
      </c>
      <c r="I31" s="1083">
        <f>'Tax Increment Budget'!J60</f>
        <v>6139.4587386328349</v>
      </c>
      <c r="J31" s="1083">
        <f>'Tax Increment Budget'!K60</f>
        <v>6626.9682350654475</v>
      </c>
      <c r="K31" s="1083">
        <f>'Tax Increment Budget'!L60</f>
        <v>7126.6616532098487</v>
      </c>
      <c r="L31" s="1083">
        <f>'Tax Increment Budget'!M60</f>
        <v>7651.8632386241479</v>
      </c>
      <c r="M31" s="1083">
        <f>'Tax Increment Budget'!N60</f>
        <v>8229.6144555654464</v>
      </c>
      <c r="N31" s="1083">
        <f>'Tax Increment Budget'!O60</f>
        <v>8992.9437296005781</v>
      </c>
      <c r="O31" s="1083">
        <f>'Tax Increment Budget'!P60</f>
        <v>9589.4348531977957</v>
      </c>
      <c r="P31" s="1083">
        <f>'Tax Increment Budget'!Q60</f>
        <v>10198.557256323431</v>
      </c>
      <c r="Q31" s="1083">
        <f>'Tax Increment Budget'!R60</f>
        <v>10198.557256323431</v>
      </c>
      <c r="R31" s="1083">
        <f>'Tax Increment Budget'!S60</f>
        <v>10198.557256323431</v>
      </c>
      <c r="S31" s="1083">
        <f>'Tax Increment Budget'!T60</f>
        <v>10198.557256323431</v>
      </c>
      <c r="T31" s="1083">
        <f>'Tax Increment Budget'!U60</f>
        <v>10198.557256323431</v>
      </c>
      <c r="U31" s="1083">
        <f>'Tax Increment Budget'!V60</f>
        <v>10198.557256323431</v>
      </c>
      <c r="V31" s="1083">
        <f>'Tax Increment Budget'!W60</f>
        <v>10198.557256323431</v>
      </c>
      <c r="W31" s="1083">
        <f>'Tax Increment Budget'!X60</f>
        <v>10198.557256323431</v>
      </c>
      <c r="X31" s="849">
        <f t="shared" si="28"/>
        <v>156157.15266811126</v>
      </c>
      <c r="Y31" s="845">
        <f t="shared" si="29"/>
        <v>98454.910692416859</v>
      </c>
    </row>
    <row r="32" spans="1:29" s="973" customFormat="1" x14ac:dyDescent="0.15">
      <c r="A32" s="975"/>
      <c r="B32" s="973" t="str">
        <f t="shared" si="30"/>
        <v>Central Utah Water Conservancy District</v>
      </c>
      <c r="D32" s="1083">
        <f>'Tax Increment Budget'!E61</f>
        <v>2676.5508977463724</v>
      </c>
      <c r="E32" s="1083">
        <f>'Tax Increment Budget'!F61</f>
        <v>5450.7706061189383</v>
      </c>
      <c r="F32" s="1083">
        <f>'Tax Increment Budget'!G61</f>
        <v>6018.2037613657631</v>
      </c>
      <c r="G32" s="1083">
        <f>'Tax Increment Budget'!H61</f>
        <v>6981.9874520205958</v>
      </c>
      <c r="H32" s="1083">
        <f>'Tax Increment Budget'!I61</f>
        <v>7849.9062270174363</v>
      </c>
      <c r="I32" s="1083">
        <f>'Tax Increment Budget'!J61</f>
        <v>8802.0913815524545</v>
      </c>
      <c r="J32" s="1083">
        <f>'Tax Increment Budget'!K61</f>
        <v>9501.0297276923957</v>
      </c>
      <c r="K32" s="1083">
        <f>'Tax Increment Budget'!L61</f>
        <v>10217.4360619496</v>
      </c>
      <c r="L32" s="1083">
        <f>'Tax Increment Budget'!M61</f>
        <v>10970.413245339281</v>
      </c>
      <c r="M32" s="1083">
        <f>'Tax Increment Budget'!N61</f>
        <v>11798.730402244364</v>
      </c>
      <c r="N32" s="1083">
        <f>'Tax Increment Budget'!O61</f>
        <v>12893.109289749933</v>
      </c>
      <c r="O32" s="1083">
        <f>'Tax Increment Budget'!P61</f>
        <v>13748.293696340923</v>
      </c>
      <c r="P32" s="1083">
        <f>'Tax Increment Budget'!Q61</f>
        <v>14621.587464262986</v>
      </c>
      <c r="Q32" s="1083">
        <f>'Tax Increment Budget'!R61</f>
        <v>14621.587464262986</v>
      </c>
      <c r="R32" s="1083">
        <f>'Tax Increment Budget'!S61</f>
        <v>14621.587464262986</v>
      </c>
      <c r="S32" s="1083">
        <f>'Tax Increment Budget'!T61</f>
        <v>14621.587464262986</v>
      </c>
      <c r="T32" s="1083">
        <f>'Tax Increment Budget'!U61</f>
        <v>14621.587464262986</v>
      </c>
      <c r="U32" s="1083">
        <f>'Tax Increment Budget'!V61</f>
        <v>14621.587464262986</v>
      </c>
      <c r="V32" s="1083">
        <f>'Tax Increment Budget'!W61</f>
        <v>14621.587464262986</v>
      </c>
      <c r="W32" s="1083">
        <f>'Tax Increment Budget'!X61</f>
        <v>14621.587464262986</v>
      </c>
      <c r="X32" s="849">
        <f t="shared" si="28"/>
        <v>223881.22246324201</v>
      </c>
      <c r="Y32" s="845">
        <f t="shared" si="29"/>
        <v>141153.99382425356</v>
      </c>
      <c r="Z32" s="975"/>
    </row>
    <row r="33" spans="1:26" x14ac:dyDescent="0.15">
      <c r="B33" s="973" t="str">
        <f t="shared" si="30"/>
        <v>Unified Fire Service Area</v>
      </c>
      <c r="D33" s="1083">
        <f>'Tax Increment Budget'!E62</f>
        <v>12432.578920031898</v>
      </c>
      <c r="E33" s="1083">
        <f>'Tax Increment Budget'!F62</f>
        <v>25318.829465422459</v>
      </c>
      <c r="F33" s="1083">
        <f>'Tax Increment Budget'!G62</f>
        <v>27954.556471543969</v>
      </c>
      <c r="G33" s="1083">
        <f>'Tax Increment Budget'!H62</f>
        <v>32431.331714635671</v>
      </c>
      <c r="H33" s="1083">
        <f>'Tax Increment Budget'!I62</f>
        <v>36462.814424495999</v>
      </c>
      <c r="I33" s="1083">
        <f>'Tax Increment Budget'!J62</f>
        <v>40885.714467311132</v>
      </c>
      <c r="J33" s="1083">
        <f>'Tax Increment Budget'!K62</f>
        <v>44132.283085131174</v>
      </c>
      <c r="K33" s="1083">
        <f>'Tax Increment Budget'!L62</f>
        <v>47459.990507755923</v>
      </c>
      <c r="L33" s="1083">
        <f>'Tax Increment Budget'!M62</f>
        <v>50957.569524600956</v>
      </c>
      <c r="M33" s="1083">
        <f>'Tax Increment Budget'!N62</f>
        <v>54805.102718425071</v>
      </c>
      <c r="N33" s="1083">
        <f>'Tax Increment Budget'!O62</f>
        <v>59888.492650888453</v>
      </c>
      <c r="O33" s="1083">
        <f>'Tax Increment Budget'!P62</f>
        <v>63860.824219503585</v>
      </c>
      <c r="P33" s="1083">
        <f>'Tax Increment Budget'!Q62</f>
        <v>67917.273771501612</v>
      </c>
      <c r="Q33" s="1083">
        <f>'Tax Increment Budget'!R62</f>
        <v>67917.273771501612</v>
      </c>
      <c r="R33" s="1083">
        <f>'Tax Increment Budget'!S62</f>
        <v>67917.273771501612</v>
      </c>
      <c r="S33" s="1083">
        <f>'Tax Increment Budget'!T62</f>
        <v>67917.273771501612</v>
      </c>
      <c r="T33" s="1083">
        <f>'Tax Increment Budget'!U62</f>
        <v>67917.273771501612</v>
      </c>
      <c r="U33" s="1083">
        <f>'Tax Increment Budget'!V62</f>
        <v>67917.273771501612</v>
      </c>
      <c r="V33" s="1083">
        <f>'Tax Increment Budget'!W62</f>
        <v>67917.273771501612</v>
      </c>
      <c r="W33" s="1083">
        <f>'Tax Increment Budget'!X62</f>
        <v>67917.273771501612</v>
      </c>
      <c r="X33" s="849">
        <f t="shared" si="28"/>
        <v>1039928.2783417592</v>
      </c>
      <c r="Y33" s="845">
        <f t="shared" si="29"/>
        <v>655660.30131365778</v>
      </c>
    </row>
    <row r="34" spans="1:26" s="571" customFormat="1" x14ac:dyDescent="0.15">
      <c r="A34" s="718"/>
      <c r="B34" s="571" t="s">
        <v>13</v>
      </c>
      <c r="D34" s="822">
        <f t="shared" ref="D34:P34" si="31">SUM(D26:D33)</f>
        <v>104492.54704801836</v>
      </c>
      <c r="E34" s="822">
        <f t="shared" si="31"/>
        <v>212798.08446288333</v>
      </c>
      <c r="F34" s="822">
        <f t="shared" si="31"/>
        <v>234950.6748437194</v>
      </c>
      <c r="G34" s="822">
        <f t="shared" si="31"/>
        <v>272576.79012688418</v>
      </c>
      <c r="H34" s="822">
        <f t="shared" si="31"/>
        <v>306460.33910276077</v>
      </c>
      <c r="I34" s="822">
        <f t="shared" si="31"/>
        <v>343633.64753580769</v>
      </c>
      <c r="J34" s="822">
        <f t="shared" si="31"/>
        <v>370920.20056911127</v>
      </c>
      <c r="K34" s="822">
        <f t="shared" si="31"/>
        <v>398888.70385851257</v>
      </c>
      <c r="L34" s="822">
        <f t="shared" si="31"/>
        <v>428284.93309804564</v>
      </c>
      <c r="M34" s="822">
        <f t="shared" si="31"/>
        <v>460622.43490362004</v>
      </c>
      <c r="N34" s="822">
        <f t="shared" si="31"/>
        <v>503346.98667183745</v>
      </c>
      <c r="O34" s="822">
        <f t="shared" si="31"/>
        <v>536733.38590514963</v>
      </c>
      <c r="P34" s="822">
        <f t="shared" si="31"/>
        <v>570826.77460482705</v>
      </c>
      <c r="Q34" s="822">
        <f t="shared" ref="Q34:W34" si="32">SUM(Q26:Q33)</f>
        <v>570826.77460482705</v>
      </c>
      <c r="R34" s="822">
        <f t="shared" si="32"/>
        <v>570826.77460482705</v>
      </c>
      <c r="S34" s="822">
        <f t="shared" si="32"/>
        <v>570826.77460482705</v>
      </c>
      <c r="T34" s="822">
        <f t="shared" si="32"/>
        <v>570826.77460482705</v>
      </c>
      <c r="U34" s="822">
        <f t="shared" si="32"/>
        <v>570826.77460482705</v>
      </c>
      <c r="V34" s="822">
        <f t="shared" si="32"/>
        <v>570826.77460482705</v>
      </c>
      <c r="W34" s="822">
        <f t="shared" si="32"/>
        <v>570826.77460482705</v>
      </c>
      <c r="X34" s="850">
        <f t="shared" si="28"/>
        <v>8740322.9249649681</v>
      </c>
      <c r="Y34" s="851">
        <f t="shared" si="29"/>
        <v>5510651.9188988591</v>
      </c>
      <c r="Z34" s="718"/>
    </row>
    <row r="35" spans="1:26" x14ac:dyDescent="0.15">
      <c r="V35" s="973"/>
      <c r="X35" s="827"/>
      <c r="Y35" s="827"/>
    </row>
    <row r="36" spans="1:26" x14ac:dyDescent="0.15">
      <c r="B36" s="571" t="s">
        <v>1377</v>
      </c>
      <c r="V36" s="973"/>
      <c r="X36" s="827"/>
      <c r="Y36" s="827"/>
    </row>
    <row r="37" spans="1:26" x14ac:dyDescent="0.15">
      <c r="B37" s="566" t="str">
        <f t="shared" ref="B37:B42" si="33">B26</f>
        <v>Salt Lake County</v>
      </c>
      <c r="D37" s="600">
        <f>D13+D26</f>
        <v>281536.45076015068</v>
      </c>
      <c r="E37" s="1077">
        <f t="shared" ref="E37:P37" si="34">E13+E26</f>
        <v>299092.05985219579</v>
      </c>
      <c r="F37" s="1077">
        <f t="shared" si="34"/>
        <v>302682.8477877421</v>
      </c>
      <c r="G37" s="1077">
        <f t="shared" si="34"/>
        <v>308781.79145516723</v>
      </c>
      <c r="H37" s="1077">
        <f t="shared" si="34"/>
        <v>314274.08995319408</v>
      </c>
      <c r="I37" s="1077">
        <f t="shared" si="34"/>
        <v>320299.63663423597</v>
      </c>
      <c r="J37" s="1077">
        <f t="shared" si="34"/>
        <v>324722.60585590283</v>
      </c>
      <c r="K37" s="1077">
        <f t="shared" si="34"/>
        <v>329256.11468987423</v>
      </c>
      <c r="L37" s="1077">
        <f t="shared" si="34"/>
        <v>334021.04842851206</v>
      </c>
      <c r="M37" s="1077">
        <f t="shared" si="34"/>
        <v>339262.74293705204</v>
      </c>
      <c r="N37" s="1077">
        <f t="shared" si="34"/>
        <v>346188.10933454824</v>
      </c>
      <c r="O37" s="1077">
        <f t="shared" si="34"/>
        <v>351599.82315750676</v>
      </c>
      <c r="P37" s="1077">
        <f t="shared" si="34"/>
        <v>357126.1352826386</v>
      </c>
      <c r="Q37" s="1077">
        <f>Q13+Q26</f>
        <v>357126.1352826386</v>
      </c>
      <c r="R37" s="1077">
        <f>R13+R26</f>
        <v>357126.1352826386</v>
      </c>
      <c r="S37" s="1077">
        <f t="shared" ref="S37:W37" si="35">S13+S26</f>
        <v>357126.1352826386</v>
      </c>
      <c r="T37" s="1077">
        <f t="shared" si="35"/>
        <v>357126.1352826386</v>
      </c>
      <c r="U37" s="1077">
        <f t="shared" si="35"/>
        <v>357126.1352826386</v>
      </c>
      <c r="V37" s="1077">
        <f t="shared" si="35"/>
        <v>357126.1352826386</v>
      </c>
      <c r="W37" s="1077">
        <f t="shared" si="35"/>
        <v>357126.1352826386</v>
      </c>
      <c r="X37" s="852">
        <f t="shared" ref="X37:Y39" si="36">X13+X26</f>
        <v>6708726.4031071905</v>
      </c>
      <c r="Y37" s="827">
        <f t="shared" si="36"/>
        <v>4489225.5473689111</v>
      </c>
    </row>
    <row r="38" spans="1:26" x14ac:dyDescent="0.15">
      <c r="B38" s="566" t="str">
        <f t="shared" si="33"/>
        <v>Salt Lake County Library</v>
      </c>
      <c r="D38" s="1077">
        <f t="shared" ref="D38:P44" si="37">D14+D27</f>
        <v>77717.963444407025</v>
      </c>
      <c r="E38" s="1077">
        <f t="shared" si="37"/>
        <v>82564.178497470362</v>
      </c>
      <c r="F38" s="1077">
        <f t="shared" si="37"/>
        <v>83555.413290542143</v>
      </c>
      <c r="G38" s="1077">
        <f t="shared" si="37"/>
        <v>85239.022925154815</v>
      </c>
      <c r="H38" s="1077">
        <f t="shared" si="37"/>
        <v>86755.168535227422</v>
      </c>
      <c r="I38" s="1077">
        <f t="shared" si="37"/>
        <v>88418.516977055784</v>
      </c>
      <c r="J38" s="1077">
        <f t="shared" si="37"/>
        <v>89639.474900468995</v>
      </c>
      <c r="K38" s="1077">
        <f t="shared" si="37"/>
        <v>90890.947215624547</v>
      </c>
      <c r="L38" s="1077">
        <f t="shared" si="37"/>
        <v>92206.304232858398</v>
      </c>
      <c r="M38" s="1077">
        <f t="shared" si="37"/>
        <v>93653.270766326954</v>
      </c>
      <c r="N38" s="1077">
        <f t="shared" si="37"/>
        <v>95565.013885438253</v>
      </c>
      <c r="O38" s="1077">
        <f t="shared" si="37"/>
        <v>97058.914145701885</v>
      </c>
      <c r="P38" s="1077">
        <f t="shared" si="37"/>
        <v>98584.449196540751</v>
      </c>
      <c r="Q38" s="1077">
        <f t="shared" ref="Q38:W38" si="38">Q14+Q27</f>
        <v>98584.449196540751</v>
      </c>
      <c r="R38" s="1077">
        <f t="shared" si="38"/>
        <v>98584.449196540751</v>
      </c>
      <c r="S38" s="1077">
        <f t="shared" si="38"/>
        <v>98584.449196540751</v>
      </c>
      <c r="T38" s="1077">
        <f t="shared" si="38"/>
        <v>98584.449196540751</v>
      </c>
      <c r="U38" s="1077">
        <f t="shared" si="38"/>
        <v>98584.449196540751</v>
      </c>
      <c r="V38" s="1077">
        <f t="shared" si="38"/>
        <v>98584.449196540751</v>
      </c>
      <c r="W38" s="1077">
        <f t="shared" si="38"/>
        <v>98584.449196540751</v>
      </c>
      <c r="X38" s="852">
        <f t="shared" si="36"/>
        <v>1851939.7823886024</v>
      </c>
      <c r="Y38" s="835">
        <f t="shared" si="36"/>
        <v>1239247.9412243071</v>
      </c>
    </row>
    <row r="39" spans="1:26" x14ac:dyDescent="0.15">
      <c r="B39" s="566" t="str">
        <f t="shared" si="33"/>
        <v>Granite School District</v>
      </c>
      <c r="D39" s="1077">
        <f t="shared" si="37"/>
        <v>1074410.3786361231</v>
      </c>
      <c r="E39" s="1077">
        <f t="shared" si="37"/>
        <v>1128660.2450333487</v>
      </c>
      <c r="F39" s="1077">
        <f t="shared" si="37"/>
        <v>1139756.4003842003</v>
      </c>
      <c r="G39" s="1077">
        <f t="shared" si="37"/>
        <v>1158603.1904549557</v>
      </c>
      <c r="H39" s="1077">
        <f t="shared" si="37"/>
        <v>1175575.3421000189</v>
      </c>
      <c r="I39" s="1077">
        <f t="shared" si="37"/>
        <v>1194195.322796951</v>
      </c>
      <c r="J39" s="1077">
        <f t="shared" si="37"/>
        <v>1207863.0621557178</v>
      </c>
      <c r="K39" s="1077">
        <f t="shared" si="37"/>
        <v>1221872.3880221173</v>
      </c>
      <c r="L39" s="1077">
        <f t="shared" si="37"/>
        <v>1236596.8568433025</v>
      </c>
      <c r="M39" s="1077">
        <f t="shared" si="37"/>
        <v>1252794.5988465813</v>
      </c>
      <c r="N39" s="1077">
        <f t="shared" si="37"/>
        <v>1274195.177991753</v>
      </c>
      <c r="O39" s="1077">
        <f t="shared" si="37"/>
        <v>1290918.3090626397</v>
      </c>
      <c r="P39" s="1077">
        <f t="shared" si="37"/>
        <v>1307995.5686943554</v>
      </c>
      <c r="Q39" s="1077">
        <f t="shared" ref="Q39:W39" si="39">Q15+Q28</f>
        <v>1307995.5686943554</v>
      </c>
      <c r="R39" s="1077">
        <f t="shared" si="39"/>
        <v>1307995.5686943554</v>
      </c>
      <c r="S39" s="1077">
        <f t="shared" si="39"/>
        <v>1307995.5686943554</v>
      </c>
      <c r="T39" s="1077">
        <f t="shared" si="39"/>
        <v>1307995.5686943554</v>
      </c>
      <c r="U39" s="1077">
        <f t="shared" si="39"/>
        <v>1307995.5686943554</v>
      </c>
      <c r="V39" s="1077">
        <f t="shared" si="39"/>
        <v>1307995.5686943554</v>
      </c>
      <c r="W39" s="1077">
        <f t="shared" si="39"/>
        <v>1307995.5686943554</v>
      </c>
      <c r="X39" s="852">
        <f t="shared" si="36"/>
        <v>24819405.821882546</v>
      </c>
      <c r="Y39" s="827">
        <f t="shared" si="36"/>
        <v>16650536.983812483</v>
      </c>
    </row>
    <row r="40" spans="1:26" s="973" customFormat="1" x14ac:dyDescent="0.15">
      <c r="A40" s="975"/>
      <c r="B40" s="973" t="str">
        <f t="shared" si="33"/>
        <v>Millcreek City</v>
      </c>
      <c r="D40" s="1077">
        <f t="shared" si="37"/>
        <v>276363.29350752739</v>
      </c>
      <c r="E40" s="1077">
        <f t="shared" si="37"/>
        <v>290317.61864064139</v>
      </c>
      <c r="F40" s="1077">
        <f t="shared" si="37"/>
        <v>293171.80741153297</v>
      </c>
      <c r="G40" s="1077">
        <f t="shared" si="37"/>
        <v>298019.63937552675</v>
      </c>
      <c r="H40" s="1077">
        <f t="shared" si="37"/>
        <v>302385.27081376081</v>
      </c>
      <c r="I40" s="1077">
        <f t="shared" si="37"/>
        <v>307174.76214107196</v>
      </c>
      <c r="J40" s="1077">
        <f t="shared" si="37"/>
        <v>310690.42202215589</v>
      </c>
      <c r="K40" s="1077">
        <f t="shared" si="37"/>
        <v>314293.94588346966</v>
      </c>
      <c r="L40" s="1077">
        <f t="shared" si="37"/>
        <v>318081.42111591971</v>
      </c>
      <c r="M40" s="1077">
        <f t="shared" si="37"/>
        <v>322247.85641515232</v>
      </c>
      <c r="N40" s="1077">
        <f t="shared" si="37"/>
        <v>327752.58221930533</v>
      </c>
      <c r="O40" s="1077">
        <f t="shared" si="37"/>
        <v>332054.159784458</v>
      </c>
      <c r="P40" s="1077">
        <f t="shared" si="37"/>
        <v>336446.827437106</v>
      </c>
      <c r="Q40" s="1077">
        <f t="shared" ref="Q40:W40" si="40">Q16+Q29</f>
        <v>336446.827437106</v>
      </c>
      <c r="R40" s="1077">
        <f t="shared" si="40"/>
        <v>336446.827437106</v>
      </c>
      <c r="S40" s="1077">
        <f t="shared" si="40"/>
        <v>336446.827437106</v>
      </c>
      <c r="T40" s="1077">
        <f t="shared" si="40"/>
        <v>336446.827437106</v>
      </c>
      <c r="U40" s="1077">
        <f t="shared" si="40"/>
        <v>336446.827437106</v>
      </c>
      <c r="V40" s="1077">
        <f t="shared" si="40"/>
        <v>336446.827437106</v>
      </c>
      <c r="W40" s="1077">
        <f t="shared" si="40"/>
        <v>336446.827437106</v>
      </c>
      <c r="X40" s="852">
        <f t="shared" ref="X40:Y40" si="41">X16+X29</f>
        <v>6384127.3988273684</v>
      </c>
      <c r="Y40" s="827">
        <f t="shared" si="41"/>
        <v>4282904.6805715561</v>
      </c>
      <c r="Z40" s="975"/>
    </row>
    <row r="41" spans="1:26" s="973" customFormat="1" x14ac:dyDescent="0.15">
      <c r="A41" s="975"/>
      <c r="B41" s="973" t="str">
        <f t="shared" si="33"/>
        <v>South Salt Lake Valley Mosquito Abatement District</v>
      </c>
      <c r="D41" s="1077">
        <f t="shared" si="37"/>
        <v>2060.3625261495581</v>
      </c>
      <c r="E41" s="1077">
        <f t="shared" si="37"/>
        <v>2164.3957652135296</v>
      </c>
      <c r="F41" s="1077">
        <f t="shared" si="37"/>
        <v>2185.6745085352854</v>
      </c>
      <c r="G41" s="1077">
        <f t="shared" si="37"/>
        <v>2221.8163969348416</v>
      </c>
      <c r="H41" s="1077">
        <f t="shared" si="37"/>
        <v>2254.3633509972233</v>
      </c>
      <c r="I41" s="1077">
        <f t="shared" si="37"/>
        <v>2290.0702942922862</v>
      </c>
      <c r="J41" s="1077">
        <f t="shared" si="37"/>
        <v>2316.2804822725343</v>
      </c>
      <c r="K41" s="1077">
        <f t="shared" si="37"/>
        <v>2343.1457198071794</v>
      </c>
      <c r="L41" s="1077">
        <f t="shared" si="37"/>
        <v>2371.3823641842928</v>
      </c>
      <c r="M41" s="1077">
        <f t="shared" si="37"/>
        <v>2402.4442575682333</v>
      </c>
      <c r="N41" s="1077">
        <f t="shared" si="37"/>
        <v>2443.483465849692</v>
      </c>
      <c r="O41" s="1077">
        <f t="shared" si="37"/>
        <v>2475.5528810968535</v>
      </c>
      <c r="P41" s="1077">
        <f t="shared" si="37"/>
        <v>2508.3013973939314</v>
      </c>
      <c r="Q41" s="1077">
        <f t="shared" ref="Q41:W41" si="42">Q17+Q30</f>
        <v>2508.3013973939314</v>
      </c>
      <c r="R41" s="1077">
        <f t="shared" si="42"/>
        <v>2508.3013973939314</v>
      </c>
      <c r="S41" s="1077">
        <f t="shared" si="42"/>
        <v>2508.3013973939314</v>
      </c>
      <c r="T41" s="1077">
        <f t="shared" si="42"/>
        <v>2508.3013973939314</v>
      </c>
      <c r="U41" s="1077">
        <f t="shared" si="42"/>
        <v>2508.3013973939314</v>
      </c>
      <c r="V41" s="1077">
        <f t="shared" si="42"/>
        <v>2508.3013973939314</v>
      </c>
      <c r="W41" s="1077">
        <f t="shared" si="42"/>
        <v>2508.3013973939314</v>
      </c>
      <c r="X41" s="852">
        <f t="shared" ref="X41:Y41" si="43">X17+X30</f>
        <v>47595.383192052963</v>
      </c>
      <c r="Y41" s="827">
        <f t="shared" si="43"/>
        <v>31930.203881000671</v>
      </c>
      <c r="Z41" s="975"/>
    </row>
    <row r="42" spans="1:26" x14ac:dyDescent="0.15">
      <c r="B42" s="566" t="str">
        <f t="shared" si="33"/>
        <v>Mt. Olympus Improvement District</v>
      </c>
      <c r="D42" s="1077">
        <f t="shared" si="37"/>
        <v>38322.742986381782</v>
      </c>
      <c r="E42" s="1077">
        <f t="shared" si="37"/>
        <v>40257.76123297165</v>
      </c>
      <c r="F42" s="1077">
        <f t="shared" si="37"/>
        <v>40653.545858756312</v>
      </c>
      <c r="G42" s="1077">
        <f t="shared" si="37"/>
        <v>41325.784982988058</v>
      </c>
      <c r="H42" s="1077">
        <f t="shared" si="37"/>
        <v>41931.15832854835</v>
      </c>
      <c r="I42" s="1077">
        <f t="shared" si="37"/>
        <v>42595.307473836525</v>
      </c>
      <c r="J42" s="1077">
        <f t="shared" si="37"/>
        <v>43082.816970269138</v>
      </c>
      <c r="K42" s="1077">
        <f t="shared" si="37"/>
        <v>43582.510388413539</v>
      </c>
      <c r="L42" s="1077">
        <f t="shared" si="37"/>
        <v>44107.711973827842</v>
      </c>
      <c r="M42" s="1077">
        <f t="shared" si="37"/>
        <v>44685.463190769136</v>
      </c>
      <c r="N42" s="1077">
        <f t="shared" si="37"/>
        <v>45448.792464804268</v>
      </c>
      <c r="O42" s="1077">
        <f t="shared" si="37"/>
        <v>46045.283588401486</v>
      </c>
      <c r="P42" s="1077">
        <f t="shared" si="37"/>
        <v>46654.405991527121</v>
      </c>
      <c r="Q42" s="1077">
        <f t="shared" ref="Q42:W42" si="44">Q18+Q31</f>
        <v>46654.405991527121</v>
      </c>
      <c r="R42" s="1077">
        <f t="shared" si="44"/>
        <v>46654.405991527121</v>
      </c>
      <c r="S42" s="1077">
        <f t="shared" si="44"/>
        <v>46654.405991527121</v>
      </c>
      <c r="T42" s="1077">
        <f t="shared" si="44"/>
        <v>46654.405991527121</v>
      </c>
      <c r="U42" s="1077">
        <f t="shared" si="44"/>
        <v>46654.405991527121</v>
      </c>
      <c r="V42" s="1077">
        <f t="shared" si="44"/>
        <v>46654.405991527121</v>
      </c>
      <c r="W42" s="1077">
        <f t="shared" si="44"/>
        <v>46654.405991527121</v>
      </c>
      <c r="X42" s="852">
        <f t="shared" ref="X42:Y45" si="45">X18+X31</f>
        <v>885274.12737218512</v>
      </c>
      <c r="Y42" s="827">
        <f t="shared" si="45"/>
        <v>593901.79218661238</v>
      </c>
    </row>
    <row r="43" spans="1:26" s="973" customFormat="1" x14ac:dyDescent="0.15">
      <c r="A43" s="975"/>
      <c r="B43" s="973" t="str">
        <f t="shared" ref="B43:B44" si="46">B32</f>
        <v>Central Utah Water Conservancy District</v>
      </c>
      <c r="D43" s="1077">
        <f t="shared" si="37"/>
        <v>54943.000697321564</v>
      </c>
      <c r="E43" s="1077">
        <f t="shared" si="37"/>
        <v>57717.220405694126</v>
      </c>
      <c r="F43" s="1077">
        <f t="shared" si="37"/>
        <v>58284.653560940948</v>
      </c>
      <c r="G43" s="1077">
        <f t="shared" si="37"/>
        <v>59248.43725159578</v>
      </c>
      <c r="H43" s="1077">
        <f t="shared" si="37"/>
        <v>60116.356026592621</v>
      </c>
      <c r="I43" s="1077">
        <f t="shared" si="37"/>
        <v>61068.541181127643</v>
      </c>
      <c r="J43" s="1077">
        <f t="shared" si="37"/>
        <v>61767.479527267584</v>
      </c>
      <c r="K43" s="1077">
        <f t="shared" si="37"/>
        <v>62483.885861524788</v>
      </c>
      <c r="L43" s="1077">
        <f t="shared" si="37"/>
        <v>63236.863044914469</v>
      </c>
      <c r="M43" s="1077">
        <f t="shared" si="37"/>
        <v>64065.180201819552</v>
      </c>
      <c r="N43" s="1077">
        <f t="shared" si="37"/>
        <v>65159.559089325121</v>
      </c>
      <c r="O43" s="1077">
        <f t="shared" si="37"/>
        <v>66014.743495916104</v>
      </c>
      <c r="P43" s="1077">
        <f t="shared" si="37"/>
        <v>66888.037263838167</v>
      </c>
      <c r="Q43" s="1077">
        <f t="shared" ref="Q43:W43" si="47">Q19+Q32</f>
        <v>66888.037263838167</v>
      </c>
      <c r="R43" s="1077">
        <f t="shared" si="47"/>
        <v>66888.037263838167</v>
      </c>
      <c r="S43" s="1077">
        <f t="shared" si="47"/>
        <v>66888.037263838167</v>
      </c>
      <c r="T43" s="1077">
        <f t="shared" si="47"/>
        <v>66888.037263838167</v>
      </c>
      <c r="U43" s="1077">
        <f t="shared" si="47"/>
        <v>66888.037263838167</v>
      </c>
      <c r="V43" s="1077">
        <f t="shared" si="47"/>
        <v>66888.037263838167</v>
      </c>
      <c r="W43" s="1077">
        <f t="shared" si="47"/>
        <v>66888.037263838167</v>
      </c>
      <c r="X43" s="852">
        <f t="shared" si="45"/>
        <v>1269210.2184547456</v>
      </c>
      <c r="Y43" s="827">
        <f t="shared" si="45"/>
        <v>851472.10349335114</v>
      </c>
      <c r="Z43" s="975"/>
    </row>
    <row r="44" spans="1:26" ht="12" customHeight="1" x14ac:dyDescent="0.15">
      <c r="B44" s="973" t="str">
        <f t="shared" si="46"/>
        <v>Unified Fire Service Area</v>
      </c>
      <c r="D44" s="1077">
        <f t="shared" si="37"/>
        <v>255210.23823905864</v>
      </c>
      <c r="E44" s="1077">
        <f t="shared" si="37"/>
        <v>268096.48878444918</v>
      </c>
      <c r="F44" s="1077">
        <f t="shared" si="37"/>
        <v>270732.21579057071</v>
      </c>
      <c r="G44" s="1077">
        <f t="shared" si="37"/>
        <v>275208.9910336624</v>
      </c>
      <c r="H44" s="1077">
        <f t="shared" si="37"/>
        <v>279240.47374352277</v>
      </c>
      <c r="I44" s="1077">
        <f t="shared" si="37"/>
        <v>283663.37378633791</v>
      </c>
      <c r="J44" s="1077">
        <f t="shared" si="37"/>
        <v>286909.94240415795</v>
      </c>
      <c r="K44" s="1077">
        <f t="shared" si="37"/>
        <v>290237.64982678264</v>
      </c>
      <c r="L44" s="1077">
        <f t="shared" si="37"/>
        <v>293735.22884362773</v>
      </c>
      <c r="M44" s="1077">
        <f t="shared" si="37"/>
        <v>297582.76203745184</v>
      </c>
      <c r="N44" s="1077">
        <f t="shared" si="37"/>
        <v>302666.1519699152</v>
      </c>
      <c r="O44" s="1077">
        <f t="shared" si="37"/>
        <v>306638.4835385303</v>
      </c>
      <c r="P44" s="1077">
        <f t="shared" si="37"/>
        <v>310694.93309052836</v>
      </c>
      <c r="Q44" s="1077">
        <f t="shared" ref="Q44:W44" si="48">Q20+Q33</f>
        <v>310694.93309052836</v>
      </c>
      <c r="R44" s="1077">
        <f t="shared" si="48"/>
        <v>310694.93309052836</v>
      </c>
      <c r="S44" s="1077">
        <f t="shared" si="48"/>
        <v>310694.93309052836</v>
      </c>
      <c r="T44" s="1077">
        <f t="shared" si="48"/>
        <v>310694.93309052836</v>
      </c>
      <c r="U44" s="1077">
        <f t="shared" si="48"/>
        <v>310694.93309052836</v>
      </c>
      <c r="V44" s="1077">
        <f t="shared" si="48"/>
        <v>310694.93309052836</v>
      </c>
      <c r="W44" s="1077">
        <f t="shared" si="48"/>
        <v>310694.93309052836</v>
      </c>
      <c r="X44" s="852">
        <f t="shared" si="45"/>
        <v>5895481.4647222944</v>
      </c>
      <c r="Y44" s="827">
        <f t="shared" si="45"/>
        <v>3955087.9207266155</v>
      </c>
    </row>
    <row r="45" spans="1:26" x14ac:dyDescent="0.15">
      <c r="B45" s="571" t="s">
        <v>13</v>
      </c>
      <c r="C45" s="571"/>
      <c r="D45" s="822">
        <f>SUM(D37:D44)</f>
        <v>2060564.4307971196</v>
      </c>
      <c r="E45" s="822">
        <f t="shared" ref="E45:P45" si="49">SUM(E37:E44)</f>
        <v>2168869.9682119847</v>
      </c>
      <c r="F45" s="822">
        <f t="shared" si="49"/>
        <v>2191022.5585928205</v>
      </c>
      <c r="G45" s="822">
        <f t="shared" si="49"/>
        <v>2228648.6738759857</v>
      </c>
      <c r="H45" s="822">
        <f t="shared" si="49"/>
        <v>2262532.2228518622</v>
      </c>
      <c r="I45" s="822">
        <f t="shared" si="49"/>
        <v>2299705.5312849088</v>
      </c>
      <c r="J45" s="822">
        <f t="shared" si="49"/>
        <v>2326992.0843182132</v>
      </c>
      <c r="K45" s="822">
        <f t="shared" si="49"/>
        <v>2354960.5876076138</v>
      </c>
      <c r="L45" s="822">
        <f t="shared" si="49"/>
        <v>2384356.8168471474</v>
      </c>
      <c r="M45" s="822">
        <f t="shared" si="49"/>
        <v>2416694.3186527211</v>
      </c>
      <c r="N45" s="822">
        <f t="shared" si="49"/>
        <v>2459418.8704209393</v>
      </c>
      <c r="O45" s="822">
        <f t="shared" si="49"/>
        <v>2492805.2696542512</v>
      </c>
      <c r="P45" s="822">
        <f t="shared" si="49"/>
        <v>2526898.6583539285</v>
      </c>
      <c r="Q45" s="822">
        <f t="shared" ref="Q45:W45" si="50">SUM(Q37:Q44)</f>
        <v>2526898.6583539285</v>
      </c>
      <c r="R45" s="822">
        <f t="shared" si="50"/>
        <v>2526898.6583539285</v>
      </c>
      <c r="S45" s="822">
        <f t="shared" si="50"/>
        <v>2526898.6583539285</v>
      </c>
      <c r="T45" s="822">
        <f t="shared" si="50"/>
        <v>2526898.6583539285</v>
      </c>
      <c r="U45" s="822">
        <f t="shared" si="50"/>
        <v>2526898.6583539285</v>
      </c>
      <c r="V45" s="822">
        <f t="shared" si="50"/>
        <v>2526898.6583539285</v>
      </c>
      <c r="W45" s="822">
        <f t="shared" si="50"/>
        <v>2526898.6583539285</v>
      </c>
      <c r="X45" s="985">
        <f t="shared" si="45"/>
        <v>47861760.599946991</v>
      </c>
      <c r="Y45" s="828">
        <f t="shared" si="45"/>
        <v>32094307.173264831</v>
      </c>
    </row>
    <row r="46" spans="1:26" ht="33" x14ac:dyDescent="0.15">
      <c r="F46" s="824" t="s">
        <v>1378</v>
      </c>
      <c r="G46" s="825" t="s">
        <v>2121</v>
      </c>
      <c r="H46" s="825" t="s">
        <v>13</v>
      </c>
      <c r="I46" s="601"/>
      <c r="X46" s="827"/>
      <c r="Y46" s="827"/>
    </row>
    <row r="47" spans="1:26" x14ac:dyDescent="0.15">
      <c r="B47" s="566" t="str">
        <f>B37</f>
        <v>Salt Lake County</v>
      </c>
      <c r="F47" s="827">
        <f>F13</f>
        <v>264598.90211034939</v>
      </c>
      <c r="G47" s="913">
        <f>'Tax Increment Budget'!X18</f>
        <v>370108.93268915697</v>
      </c>
      <c r="H47" s="814">
        <f>SUM(F47:G47)</f>
        <v>634707.83479950635</v>
      </c>
    </row>
    <row r="48" spans="1:26" x14ac:dyDescent="0.15">
      <c r="B48" s="574" t="str">
        <f>B38</f>
        <v>Salt Lake County Library</v>
      </c>
      <c r="C48" s="574"/>
      <c r="D48" s="574"/>
      <c r="E48" s="574"/>
      <c r="F48" s="827">
        <f t="shared" ref="F48:F54" si="51">F14</f>
        <v>73042.363594906332</v>
      </c>
      <c r="G48" s="913">
        <f>'Tax Increment Budget'!X19</f>
        <v>102168.34240653766</v>
      </c>
      <c r="H48" s="914">
        <f>SUM(F48:G48)</f>
        <v>175210.70600144399</v>
      </c>
      <c r="I48" s="574"/>
    </row>
    <row r="49" spans="1:26" x14ac:dyDescent="0.15">
      <c r="B49" s="566" t="str">
        <f>B39</f>
        <v>Granite School District</v>
      </c>
      <c r="F49" s="827">
        <f t="shared" si="51"/>
        <v>1022070.4258306929</v>
      </c>
      <c r="G49" s="913">
        <f>'Tax Increment Budget'!X20</f>
        <v>1429625.7143183141</v>
      </c>
      <c r="H49" s="814">
        <f t="shared" ref="H49:H54" si="52">SUM(F49:G49)</f>
        <v>2451696.1401490071</v>
      </c>
    </row>
    <row r="50" spans="1:26" s="973" customFormat="1" x14ac:dyDescent="0.15">
      <c r="A50" s="975"/>
      <c r="B50" s="973" t="str">
        <f t="shared" ref="B50:B51" si="53">B40</f>
        <v>Millcreek City</v>
      </c>
      <c r="F50" s="827">
        <f t="shared" si="51"/>
        <v>262900.24249186314</v>
      </c>
      <c r="G50" s="913">
        <f>'Tax Increment Budget'!X21</f>
        <v>367732.9247262142</v>
      </c>
      <c r="H50" s="814">
        <f t="shared" si="52"/>
        <v>630633.16721807735</v>
      </c>
      <c r="Z50" s="975"/>
    </row>
    <row r="51" spans="1:26" s="973" customFormat="1" x14ac:dyDescent="0.15">
      <c r="A51" s="975"/>
      <c r="B51" s="973" t="str">
        <f t="shared" si="53"/>
        <v>South Salt Lake Valley Mosquito Abatement District</v>
      </c>
      <c r="F51" s="827">
        <f t="shared" si="51"/>
        <v>1959.9918674840694</v>
      </c>
      <c r="G51" s="913">
        <f>'Tax Increment Budget'!X22</f>
        <v>2741.5476495493108</v>
      </c>
      <c r="H51" s="814">
        <f t="shared" si="52"/>
        <v>4701.5395170333804</v>
      </c>
      <c r="Z51" s="975"/>
    </row>
    <row r="52" spans="1:26" x14ac:dyDescent="0.15">
      <c r="B52" s="566" t="str">
        <f>B42</f>
        <v>Mt. Olympus Improvement District</v>
      </c>
      <c r="F52" s="827">
        <f t="shared" si="51"/>
        <v>36455.84873520369</v>
      </c>
      <c r="G52" s="913">
        <f>'Tax Increment Budget'!X23</f>
        <v>50992.786281617184</v>
      </c>
      <c r="H52" s="814">
        <f t="shared" si="52"/>
        <v>87448.635016820874</v>
      </c>
    </row>
    <row r="53" spans="1:26" s="973" customFormat="1" x14ac:dyDescent="0.15">
      <c r="A53" s="975"/>
      <c r="B53" s="973" t="str">
        <f>B43</f>
        <v>Central Utah Water Conservancy District</v>
      </c>
      <c r="F53" s="827">
        <f t="shared" si="51"/>
        <v>52266.449799575188</v>
      </c>
      <c r="G53" s="913">
        <f>'Tax Increment Budget'!X24</f>
        <v>73107.937321314952</v>
      </c>
      <c r="H53" s="814">
        <f t="shared" si="52"/>
        <v>125374.38712089014</v>
      </c>
      <c r="Z53" s="975"/>
    </row>
    <row r="54" spans="1:26" x14ac:dyDescent="0.15">
      <c r="B54" s="566" t="str">
        <f>B44</f>
        <v>Unified Fire Service Area</v>
      </c>
      <c r="F54" s="827">
        <f t="shared" si="51"/>
        <v>242777.65931902674</v>
      </c>
      <c r="G54" s="913">
        <f>'Tax Increment Budget'!X25</f>
        <v>339586.368857508</v>
      </c>
      <c r="H54" s="814">
        <f t="shared" si="52"/>
        <v>582364.02817653469</v>
      </c>
    </row>
    <row r="55" spans="1:26" x14ac:dyDescent="0.15">
      <c r="B55" s="571" t="s">
        <v>13</v>
      </c>
      <c r="F55" s="828">
        <f>SUM(F47:F54)</f>
        <v>1956071.8837491013</v>
      </c>
      <c r="G55" s="828">
        <f>SUM(G47:G54)</f>
        <v>2736064.5542502129</v>
      </c>
      <c r="H55" s="828">
        <f>SUM(H47:H54)</f>
        <v>4692136.4379993137</v>
      </c>
      <c r="I55" s="632">
        <f>RATE(1,,-F55,H55)</f>
        <v>1.3987546045629671</v>
      </c>
    </row>
    <row r="56" spans="1:26" x14ac:dyDescent="0.15">
      <c r="F56" s="826"/>
      <c r="G56" s="826"/>
      <c r="H56" s="826"/>
    </row>
  </sheetData>
  <mergeCells count="2">
    <mergeCell ref="B7:B8"/>
    <mergeCell ref="B11:C11"/>
  </mergeCells>
  <conditionalFormatting sqref="F25:Y25 D10:Y11 D22:Y22">
    <cfRule type="cellIs" dxfId="5" priority="4" operator="greaterThan">
      <formula>0</formula>
    </cfRule>
  </conditionalFormatting>
  <printOptions horizontalCentered="1"/>
  <pageMargins left="0.17" right="0.17" top="0.26" bottom="0.18" header="0" footer="7.0000000000000007E-2"/>
  <pageSetup paperSize="3" scale="85" orientation="landscape" r:id="rId1"/>
  <headerFooter alignWithMargins="0">
    <oddFooter xml:space="preserve">&amp;R&amp;"Arial,Italic"&amp;9&amp;G &amp;A
&amp;F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B4" sqref="B4"/>
    </sheetView>
  </sheetViews>
  <sheetFormatPr baseColWidth="10" defaultColWidth="8.83203125" defaultRowHeight="13" x14ac:dyDescent="0.15"/>
  <cols>
    <col min="2" max="2" width="25.1640625" customWidth="1"/>
    <col min="3" max="3" width="19.83203125" customWidth="1"/>
    <col min="4" max="4" width="22.1640625" customWidth="1"/>
    <col min="5" max="5" width="23.33203125" customWidth="1"/>
  </cols>
  <sheetData>
    <row r="1" spans="1:5" ht="28" x14ac:dyDescent="0.2">
      <c r="A1" s="1078" t="s">
        <v>1205</v>
      </c>
      <c r="B1" s="1082" t="s">
        <v>1460</v>
      </c>
      <c r="C1" s="1082" t="s">
        <v>1461</v>
      </c>
      <c r="D1" s="1082" t="s">
        <v>2123</v>
      </c>
      <c r="E1" s="1082" t="s">
        <v>2122</v>
      </c>
    </row>
    <row r="2" spans="1:5" ht="14" x14ac:dyDescent="0.2">
      <c r="A2" s="1079">
        <v>2020</v>
      </c>
      <c r="B2" s="1080">
        <f>'Base Year'!D22</f>
        <v>1956071.8837491013</v>
      </c>
      <c r="C2" s="1080"/>
      <c r="D2" s="1080">
        <v>104492.54704801836</v>
      </c>
      <c r="E2" s="1081">
        <v>396357.03969277156</v>
      </c>
    </row>
    <row r="3" spans="1:5" ht="14" x14ac:dyDescent="0.2">
      <c r="A3" s="1079">
        <f>A2+1</f>
        <v>2021</v>
      </c>
      <c r="B3" s="1081">
        <f>B2</f>
        <v>1956071.8837491013</v>
      </c>
      <c r="C3" s="1081"/>
      <c r="D3" s="1080">
        <v>212798.08446288333</v>
      </c>
      <c r="E3" s="1081">
        <v>807177.36520712334</v>
      </c>
    </row>
    <row r="4" spans="1:5" ht="14" x14ac:dyDescent="0.2">
      <c r="A4" s="1079">
        <f t="shared" ref="A4:A21" si="0">A3+1</f>
        <v>2022</v>
      </c>
      <c r="B4" s="1081">
        <f t="shared" ref="B4:B16" si="1">B3</f>
        <v>1956071.8837491013</v>
      </c>
      <c r="C4" s="1081"/>
      <c r="D4" s="1080">
        <v>234950.6748437194</v>
      </c>
      <c r="E4" s="1081">
        <v>891205.70400184917</v>
      </c>
    </row>
    <row r="5" spans="1:5" ht="14" x14ac:dyDescent="0.2">
      <c r="A5" s="1079">
        <f t="shared" si="0"/>
        <v>2023</v>
      </c>
      <c r="B5" s="1081">
        <f t="shared" si="1"/>
        <v>1956071.8837491013</v>
      </c>
      <c r="C5" s="1081"/>
      <c r="D5" s="1080">
        <v>272576.79012688418</v>
      </c>
      <c r="E5" s="1081">
        <v>1033927.6118324702</v>
      </c>
    </row>
    <row r="6" spans="1:5" ht="14" x14ac:dyDescent="0.2">
      <c r="A6" s="1079">
        <f t="shared" si="0"/>
        <v>2024</v>
      </c>
      <c r="B6" s="1081">
        <f t="shared" si="1"/>
        <v>1956071.8837491013</v>
      </c>
      <c r="C6" s="1081"/>
      <c r="D6" s="1080">
        <v>306460.33910276077</v>
      </c>
      <c r="E6" s="1081">
        <v>1162453.3636278771</v>
      </c>
    </row>
    <row r="7" spans="1:5" ht="14" x14ac:dyDescent="0.2">
      <c r="A7" s="1079">
        <f t="shared" si="0"/>
        <v>2025</v>
      </c>
      <c r="B7" s="1081">
        <f t="shared" si="1"/>
        <v>1956071.8837491013</v>
      </c>
      <c r="C7" s="1081"/>
      <c r="D7" s="1080">
        <v>343633.64753580769</v>
      </c>
      <c r="E7" s="1081">
        <v>1303457.7022371951</v>
      </c>
    </row>
    <row r="8" spans="1:5" ht="14" x14ac:dyDescent="0.2">
      <c r="A8" s="1079">
        <f t="shared" si="0"/>
        <v>2026</v>
      </c>
      <c r="B8" s="1081">
        <f t="shared" si="1"/>
        <v>1956071.8837491013</v>
      </c>
      <c r="C8" s="1081"/>
      <c r="D8" s="1080">
        <v>370920.20056911127</v>
      </c>
      <c r="E8" s="1081">
        <v>1406959.987225329</v>
      </c>
    </row>
    <row r="9" spans="1:5" ht="14" x14ac:dyDescent="0.2">
      <c r="A9" s="1079">
        <f t="shared" si="0"/>
        <v>2027</v>
      </c>
      <c r="B9" s="1081">
        <f t="shared" si="1"/>
        <v>1956071.8837491013</v>
      </c>
      <c r="C9" s="1081"/>
      <c r="D9" s="1080">
        <v>398888.70385851257</v>
      </c>
      <c r="E9" s="1081">
        <v>1513049.0192338075</v>
      </c>
    </row>
    <row r="10" spans="1:5" ht="14" x14ac:dyDescent="0.2">
      <c r="A10" s="1079">
        <f t="shared" si="0"/>
        <v>2028</v>
      </c>
      <c r="B10" s="1081">
        <f t="shared" si="1"/>
        <v>1956071.8837491013</v>
      </c>
      <c r="C10" s="1081"/>
      <c r="D10" s="1080">
        <v>428284.93309804564</v>
      </c>
      <c r="E10" s="1081">
        <v>1624553.6454360681</v>
      </c>
    </row>
    <row r="11" spans="1:5" ht="14" x14ac:dyDescent="0.2">
      <c r="A11" s="1079">
        <f t="shared" si="0"/>
        <v>2029</v>
      </c>
      <c r="B11" s="1081">
        <f t="shared" si="1"/>
        <v>1956071.8837491013</v>
      </c>
      <c r="C11" s="1081"/>
      <c r="D11" s="1080">
        <v>460622.43490362004</v>
      </c>
      <c r="E11" s="1081">
        <v>1747214.9916163576</v>
      </c>
    </row>
    <row r="12" spans="1:5" ht="14" x14ac:dyDescent="0.2">
      <c r="A12" s="1079">
        <f t="shared" si="0"/>
        <v>2030</v>
      </c>
      <c r="B12" s="1081">
        <f t="shared" si="1"/>
        <v>1956071.8837491013</v>
      </c>
      <c r="C12" s="1081"/>
      <c r="D12" s="1080">
        <v>503346.98667183745</v>
      </c>
      <c r="E12" s="1081">
        <v>1909276.0891726194</v>
      </c>
    </row>
    <row r="13" spans="1:5" ht="14" x14ac:dyDescent="0.2">
      <c r="A13" s="1079">
        <f t="shared" si="0"/>
        <v>2031</v>
      </c>
      <c r="B13" s="1081">
        <f t="shared" si="1"/>
        <v>1956071.8837491013</v>
      </c>
      <c r="C13" s="1081"/>
      <c r="D13" s="1080">
        <v>536733.38590514963</v>
      </c>
      <c r="E13" s="1081">
        <v>2035916.072022646</v>
      </c>
    </row>
    <row r="14" spans="1:5" ht="14" x14ac:dyDescent="0.2">
      <c r="A14" s="1079">
        <f t="shared" si="0"/>
        <v>2032</v>
      </c>
      <c r="B14" s="1081">
        <f t="shared" si="1"/>
        <v>1956071.8837491013</v>
      </c>
      <c r="C14" s="1081"/>
      <c r="D14" s="1080">
        <v>570826.77460482705</v>
      </c>
      <c r="E14" s="1081">
        <v>2165237.7796453852</v>
      </c>
    </row>
    <row r="15" spans="1:5" ht="14" x14ac:dyDescent="0.2">
      <c r="A15" s="1079">
        <f t="shared" si="0"/>
        <v>2033</v>
      </c>
      <c r="B15" s="1081">
        <f t="shared" si="1"/>
        <v>1956071.8837491013</v>
      </c>
      <c r="C15" s="1081"/>
      <c r="D15" s="1080">
        <v>570826.77460482705</v>
      </c>
      <c r="E15" s="1081">
        <v>2165237.7796453852</v>
      </c>
    </row>
    <row r="16" spans="1:5" ht="14" x14ac:dyDescent="0.2">
      <c r="A16" s="1079">
        <f t="shared" si="0"/>
        <v>2034</v>
      </c>
      <c r="B16" s="1081">
        <f t="shared" si="1"/>
        <v>1956071.8837491013</v>
      </c>
      <c r="C16" s="1081"/>
      <c r="D16" s="1080">
        <v>570826.77460482705</v>
      </c>
      <c r="E16" s="1081">
        <v>2165237.7796453852</v>
      </c>
    </row>
    <row r="17" spans="1:8" ht="14" x14ac:dyDescent="0.2">
      <c r="A17" s="1079">
        <f t="shared" si="0"/>
        <v>2035</v>
      </c>
      <c r="B17" s="1081">
        <f>B16</f>
        <v>1956071.8837491013</v>
      </c>
      <c r="C17" s="1081"/>
      <c r="D17" s="1080">
        <v>570826.77460482705</v>
      </c>
      <c r="E17" s="1081">
        <v>2165237.7796453852</v>
      </c>
      <c r="F17" s="1076"/>
      <c r="G17" s="1076"/>
      <c r="H17" s="1076"/>
    </row>
    <row r="18" spans="1:8" ht="14" x14ac:dyDescent="0.2">
      <c r="A18" s="1079">
        <f t="shared" si="0"/>
        <v>2036</v>
      </c>
      <c r="B18" s="1081">
        <f t="shared" ref="B18:B26" si="2">B17</f>
        <v>1956071.8837491013</v>
      </c>
      <c r="C18" s="1081"/>
      <c r="D18" s="1080">
        <v>570826.77460482705</v>
      </c>
      <c r="E18" s="1081">
        <v>2165237.7796453852</v>
      </c>
      <c r="F18" s="1076"/>
      <c r="G18" s="1076"/>
      <c r="H18" s="1076"/>
    </row>
    <row r="19" spans="1:8" ht="14" x14ac:dyDescent="0.2">
      <c r="A19" s="1079">
        <f>A18+1</f>
        <v>2037</v>
      </c>
      <c r="B19" s="1081">
        <f t="shared" si="2"/>
        <v>1956071.8837491013</v>
      </c>
      <c r="C19" s="1081"/>
      <c r="D19" s="1080">
        <v>570826.77460482705</v>
      </c>
      <c r="E19" s="1081">
        <v>2165237.7796453852</v>
      </c>
      <c r="F19" s="1076"/>
      <c r="G19" s="1076"/>
      <c r="H19" s="1076"/>
    </row>
    <row r="20" spans="1:8" ht="14" x14ac:dyDescent="0.2">
      <c r="A20" s="1079">
        <f t="shared" si="0"/>
        <v>2038</v>
      </c>
      <c r="B20" s="1081">
        <f t="shared" si="2"/>
        <v>1956071.8837491013</v>
      </c>
      <c r="C20" s="1081"/>
      <c r="D20" s="1080">
        <v>570826.77460482705</v>
      </c>
      <c r="E20" s="1081">
        <v>2165237.7796453852</v>
      </c>
      <c r="F20" s="1076"/>
      <c r="G20" s="1076"/>
      <c r="H20" s="1076"/>
    </row>
    <row r="21" spans="1:8" ht="15" customHeight="1" x14ac:dyDescent="0.2">
      <c r="A21" s="1079">
        <f t="shared" si="0"/>
        <v>2039</v>
      </c>
      <c r="B21" s="1081">
        <f t="shared" si="2"/>
        <v>1956071.8837491013</v>
      </c>
      <c r="C21" s="1081"/>
      <c r="D21" s="1080">
        <v>570826.77460482705</v>
      </c>
      <c r="E21" s="1081">
        <v>2165237.7796453852</v>
      </c>
      <c r="F21" s="1076"/>
      <c r="G21" s="1076"/>
      <c r="H21" s="1076"/>
    </row>
    <row r="22" spans="1:8" ht="14" x14ac:dyDescent="0.2">
      <c r="A22" s="1079">
        <f>A21+1</f>
        <v>2040</v>
      </c>
      <c r="B22" s="1081">
        <f t="shared" si="2"/>
        <v>1956071.8837491013</v>
      </c>
      <c r="C22" s="1281">
        <f>D21+E21</f>
        <v>2736064.5542502124</v>
      </c>
    </row>
    <row r="23" spans="1:8" ht="14" x14ac:dyDescent="0.2">
      <c r="A23" s="1079">
        <f t="shared" ref="A23:A26" si="3">A22+1</f>
        <v>2041</v>
      </c>
      <c r="B23" s="1081">
        <f t="shared" si="2"/>
        <v>1956071.8837491013</v>
      </c>
      <c r="C23" s="1281">
        <f>C22</f>
        <v>2736064.5542502124</v>
      </c>
    </row>
    <row r="24" spans="1:8" ht="14" x14ac:dyDescent="0.2">
      <c r="A24" s="1079">
        <f t="shared" si="3"/>
        <v>2042</v>
      </c>
      <c r="B24" s="1081">
        <f t="shared" si="2"/>
        <v>1956071.8837491013</v>
      </c>
      <c r="C24" s="1281">
        <f t="shared" ref="C24:C26" si="4">C23</f>
        <v>2736064.5542502124</v>
      </c>
    </row>
    <row r="25" spans="1:8" ht="14" x14ac:dyDescent="0.2">
      <c r="A25" s="1079">
        <f t="shared" si="3"/>
        <v>2043</v>
      </c>
      <c r="B25" s="1081">
        <f t="shared" si="2"/>
        <v>1956071.8837491013</v>
      </c>
      <c r="C25" s="1281">
        <f t="shared" si="4"/>
        <v>2736064.5542502124</v>
      </c>
    </row>
    <row r="26" spans="1:8" ht="14" x14ac:dyDescent="0.2">
      <c r="A26" s="1079">
        <f t="shared" si="3"/>
        <v>2044</v>
      </c>
      <c r="B26" s="1081">
        <f t="shared" si="2"/>
        <v>1956071.8837491013</v>
      </c>
      <c r="C26" s="1281">
        <f t="shared" si="4"/>
        <v>2736064.5542502124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249977111117893"/>
    <pageSetUpPr fitToPage="1"/>
  </sheetPr>
  <dimension ref="A1:Z45"/>
  <sheetViews>
    <sheetView topLeftCell="A19" zoomScaleSheetLayoutView="55" workbookViewId="0">
      <pane xSplit="2" topLeftCell="K1" activePane="topRight" state="frozen"/>
      <selection activeCell="P13" sqref="P13:P19"/>
      <selection pane="topRight" activeCell="K42" sqref="K42"/>
    </sheetView>
  </sheetViews>
  <sheetFormatPr baseColWidth="10" defaultColWidth="8.83203125" defaultRowHeight="11" outlineLevelCol="1" x14ac:dyDescent="0.15"/>
  <cols>
    <col min="1" max="1" width="2.5" style="574" customWidth="1"/>
    <col min="2" max="2" width="39.5" style="653" customWidth="1"/>
    <col min="3" max="3" width="9.1640625" style="580" customWidth="1"/>
    <col min="4" max="4" width="10.6640625" style="581" customWidth="1"/>
    <col min="5" max="5" width="10.6640625" style="566" customWidth="1"/>
    <col min="6" max="7" width="15.6640625" style="566" customWidth="1"/>
    <col min="8" max="8" width="11.1640625" style="566" customWidth="1"/>
    <col min="9" max="9" width="11.83203125" style="566" customWidth="1"/>
    <col min="10" max="10" width="11.1640625" style="566" customWidth="1"/>
    <col min="11" max="14" width="10.1640625" style="566" customWidth="1" outlineLevel="1"/>
    <col min="15" max="15" width="11.6640625" style="566" customWidth="1"/>
    <col min="16" max="20" width="11.6640625" style="973" customWidth="1"/>
    <col min="21" max="21" width="11.6640625" style="566" customWidth="1" outlineLevel="1"/>
    <col min="22" max="22" width="11.6640625" style="973" customWidth="1" outlineLevel="1"/>
    <col min="23" max="23" width="12.83203125" style="566" customWidth="1"/>
    <col min="24" max="24" width="13" style="566" customWidth="1"/>
    <col min="25" max="25" width="12.83203125" style="566" bestFit="1" customWidth="1"/>
    <col min="26" max="16384" width="8.83203125" style="566"/>
  </cols>
  <sheetData>
    <row r="1" spans="1:23" x14ac:dyDescent="0.15">
      <c r="B1" s="653" t="str">
        <f>'A.1 - Summary '!B1</f>
        <v>Millcreek Community Reinvestment Agency</v>
      </c>
    </row>
    <row r="2" spans="1:23" x14ac:dyDescent="0.15">
      <c r="B2" s="653" t="str">
        <f>'A.1 - Summary '!B2</f>
        <v>Millcreek Center CRA</v>
      </c>
    </row>
    <row r="3" spans="1:23" x14ac:dyDescent="0.15">
      <c r="B3" s="653" t="str">
        <f>'A.1 - Summary '!B3</f>
        <v>Increment and Budget Analysis</v>
      </c>
      <c r="G3" s="574"/>
    </row>
    <row r="4" spans="1:23" x14ac:dyDescent="0.15">
      <c r="B4" s="654" t="s">
        <v>1356</v>
      </c>
      <c r="E4" s="601"/>
    </row>
    <row r="5" spans="1:23" ht="12" thickBot="1" x14ac:dyDescent="0.2">
      <c r="B5" s="655" t="s">
        <v>27</v>
      </c>
      <c r="C5" s="566"/>
      <c r="D5" s="566"/>
      <c r="W5" s="632"/>
    </row>
    <row r="6" spans="1:23" x14ac:dyDescent="0.15">
      <c r="B6" s="656" t="s">
        <v>28</v>
      </c>
      <c r="C6" s="645" t="s">
        <v>34</v>
      </c>
      <c r="D6" s="590"/>
      <c r="E6" s="574"/>
      <c r="K6" s="596"/>
      <c r="L6" s="574"/>
      <c r="M6" s="574"/>
      <c r="W6" s="576"/>
    </row>
    <row r="7" spans="1:23" ht="12" thickBot="1" x14ac:dyDescent="0.2">
      <c r="B7" s="916" t="s">
        <v>1392</v>
      </c>
      <c r="C7" s="915">
        <v>255</v>
      </c>
      <c r="D7" s="590"/>
      <c r="E7" s="574"/>
      <c r="K7" s="596"/>
      <c r="L7" s="574"/>
      <c r="M7" s="574"/>
      <c r="W7" s="576"/>
    </row>
    <row r="8" spans="1:23" ht="22" x14ac:dyDescent="0.15">
      <c r="B8" s="657" t="s">
        <v>1393</v>
      </c>
      <c r="C8" s="917">
        <f>'B.1 - Dev Pro Forma'!I23</f>
        <v>125759.45368800001</v>
      </c>
      <c r="D8" s="633"/>
      <c r="E8" s="574"/>
      <c r="F8" s="1311" t="s">
        <v>1215</v>
      </c>
      <c r="G8" s="1312"/>
      <c r="H8" s="838" t="s">
        <v>1265</v>
      </c>
      <c r="I8" s="837" t="s">
        <v>1266</v>
      </c>
      <c r="J8" s="837" t="s">
        <v>1267</v>
      </c>
      <c r="K8" s="598"/>
      <c r="L8" s="574"/>
      <c r="M8" s="574"/>
      <c r="P8" s="1287"/>
      <c r="Q8" s="1288"/>
      <c r="R8" s="1288"/>
      <c r="S8" s="1288"/>
      <c r="T8" s="1289"/>
      <c r="U8" s="1288"/>
    </row>
    <row r="9" spans="1:23" ht="13" x14ac:dyDescent="0.15">
      <c r="B9" s="658" t="s">
        <v>1224</v>
      </c>
      <c r="C9" s="646"/>
      <c r="D9" s="634"/>
      <c r="E9" s="574"/>
      <c r="F9" s="574" t="s">
        <v>1384</v>
      </c>
      <c r="G9" s="907">
        <v>4.7E-2</v>
      </c>
      <c r="H9" s="908">
        <v>0</v>
      </c>
      <c r="I9" s="908">
        <v>0</v>
      </c>
      <c r="J9" s="627">
        <v>4.7E-2</v>
      </c>
      <c r="K9" s="598"/>
      <c r="L9" s="574"/>
      <c r="M9" s="574"/>
      <c r="P9" s="1290"/>
      <c r="Q9" s="1291"/>
      <c r="R9" s="1291"/>
      <c r="S9" s="1292"/>
      <c r="T9" s="1293"/>
      <c r="U9" s="1291"/>
    </row>
    <row r="10" spans="1:23" ht="13" x14ac:dyDescent="0.15">
      <c r="B10" s="659" t="s">
        <v>40</v>
      </c>
      <c r="C10" s="647">
        <v>0.02</v>
      </c>
      <c r="D10" s="624"/>
      <c r="E10" s="574"/>
      <c r="F10" s="574" t="s">
        <v>1454</v>
      </c>
      <c r="G10" s="603">
        <v>2.5000000000000001E-3</v>
      </c>
      <c r="H10" s="909">
        <v>0</v>
      </c>
      <c r="I10" s="909">
        <v>2.5000000000000001E-3</v>
      </c>
      <c r="J10" s="627">
        <v>0</v>
      </c>
      <c r="K10" s="598"/>
      <c r="L10" s="574"/>
      <c r="M10" s="574"/>
      <c r="P10" s="1290"/>
      <c r="Q10" s="1291"/>
      <c r="R10" s="1286"/>
      <c r="S10" s="1292"/>
      <c r="T10" s="1293"/>
      <c r="U10" s="1291"/>
    </row>
    <row r="11" spans="1:23" s="973" customFormat="1" ht="13" x14ac:dyDescent="0.15">
      <c r="A11" s="975"/>
      <c r="B11" s="659" t="s">
        <v>14</v>
      </c>
      <c r="C11" s="647">
        <v>0.04</v>
      </c>
      <c r="D11" s="624"/>
      <c r="E11" s="975"/>
      <c r="F11" s="975" t="s">
        <v>1385</v>
      </c>
      <c r="G11" s="603">
        <v>2.5000000000000001E-3</v>
      </c>
      <c r="H11" s="909">
        <v>0</v>
      </c>
      <c r="I11" s="909">
        <v>2.5000000000000001E-3</v>
      </c>
      <c r="J11" s="627">
        <v>0</v>
      </c>
      <c r="K11" s="598"/>
      <c r="L11" s="975"/>
      <c r="M11" s="975"/>
      <c r="P11" s="1290"/>
      <c r="Q11" s="1291"/>
      <c r="R11" s="1294"/>
      <c r="S11" s="1292"/>
      <c r="T11" s="1293"/>
      <c r="U11" s="1291"/>
    </row>
    <row r="12" spans="1:23" s="973" customFormat="1" ht="13" x14ac:dyDescent="0.15">
      <c r="A12" s="975"/>
      <c r="B12" s="660" t="s">
        <v>29</v>
      </c>
      <c r="C12" s="648">
        <v>0.1</v>
      </c>
      <c r="D12" s="622"/>
      <c r="E12" s="975"/>
      <c r="F12" s="975" t="s">
        <v>1452</v>
      </c>
      <c r="G12" s="603">
        <v>3.0000000000000001E-3</v>
      </c>
      <c r="H12" s="909">
        <v>0</v>
      </c>
      <c r="I12" s="909">
        <v>3.0000000000000001E-3</v>
      </c>
      <c r="J12" s="627">
        <v>0</v>
      </c>
      <c r="K12" s="598"/>
      <c r="L12" s="975"/>
      <c r="M12" s="975"/>
      <c r="P12" s="1290"/>
      <c r="Q12" s="1291"/>
      <c r="R12" s="1294"/>
      <c r="S12" s="1294"/>
      <c r="T12" s="1295"/>
      <c r="U12" s="1291"/>
    </row>
    <row r="13" spans="1:23" s="973" customFormat="1" ht="13" x14ac:dyDescent="0.15">
      <c r="A13" s="975"/>
      <c r="B13" s="661" t="s">
        <v>1227</v>
      </c>
      <c r="C13" s="649">
        <v>0.15</v>
      </c>
      <c r="D13" s="637">
        <f>1-C13</f>
        <v>0.85</v>
      </c>
      <c r="E13" s="975"/>
      <c r="F13" s="975" t="s">
        <v>1453</v>
      </c>
      <c r="G13" s="603">
        <v>2.5000000000000001E-3</v>
      </c>
      <c r="H13" s="909">
        <v>0</v>
      </c>
      <c r="I13" s="909">
        <v>2.5000000000000001E-3</v>
      </c>
      <c r="J13" s="627">
        <v>0</v>
      </c>
      <c r="K13" s="598"/>
      <c r="L13" s="975"/>
      <c r="M13" s="975"/>
      <c r="P13" s="1290"/>
      <c r="Q13" s="1291"/>
      <c r="R13" s="1294"/>
      <c r="S13" s="1292"/>
      <c r="T13" s="1293"/>
      <c r="U13" s="1291"/>
    </row>
    <row r="14" spans="1:23" s="973" customFormat="1" ht="13" x14ac:dyDescent="0.15">
      <c r="A14" s="975"/>
      <c r="B14" s="661" t="s">
        <v>1235</v>
      </c>
      <c r="C14" s="649">
        <v>0.5</v>
      </c>
      <c r="D14" s="637">
        <f>1-C14</f>
        <v>0.5</v>
      </c>
      <c r="E14" s="975"/>
      <c r="F14" s="975" t="s">
        <v>1391</v>
      </c>
      <c r="G14" s="603">
        <v>1E-3</v>
      </c>
      <c r="H14" s="909">
        <v>0</v>
      </c>
      <c r="I14" s="909">
        <v>1E-3</v>
      </c>
      <c r="J14" s="627">
        <v>0</v>
      </c>
      <c r="K14" s="598"/>
      <c r="L14" s="975"/>
      <c r="M14" s="975"/>
      <c r="P14" s="1290"/>
      <c r="Q14" s="1291"/>
      <c r="R14" s="1294"/>
      <c r="S14" s="1292"/>
      <c r="T14" s="1293"/>
      <c r="U14" s="1291"/>
    </row>
    <row r="15" spans="1:23" s="973" customFormat="1" ht="14" thickBot="1" x14ac:dyDescent="0.2">
      <c r="A15" s="975"/>
      <c r="B15" s="662" t="s">
        <v>1236</v>
      </c>
      <c r="C15" s="650">
        <v>0.8</v>
      </c>
      <c r="D15" s="637">
        <f>1-C15</f>
        <v>0.19999999999999996</v>
      </c>
      <c r="E15" s="975"/>
      <c r="F15" s="975" t="s">
        <v>2116</v>
      </c>
      <c r="G15" s="603">
        <v>2.5000000000000001E-3</v>
      </c>
      <c r="H15" s="909">
        <v>0</v>
      </c>
      <c r="I15" s="909">
        <v>2.5000000000000001E-3</v>
      </c>
      <c r="J15" s="627">
        <v>0</v>
      </c>
      <c r="K15" s="598"/>
      <c r="L15" s="975"/>
      <c r="M15" s="975"/>
      <c r="P15" s="1290"/>
      <c r="Q15" s="1291"/>
      <c r="R15" s="1294"/>
      <c r="S15" s="1292"/>
      <c r="T15" s="1293"/>
      <c r="U15" s="1291"/>
    </row>
    <row r="16" spans="1:23" s="576" customFormat="1" ht="14" thickBot="1" x14ac:dyDescent="0.2">
      <c r="A16" s="570"/>
      <c r="B16" s="661"/>
      <c r="C16" s="649"/>
      <c r="D16" s="637"/>
      <c r="E16" s="570"/>
      <c r="F16" s="616" t="s">
        <v>430</v>
      </c>
      <c r="G16" s="904">
        <v>0.01</v>
      </c>
      <c r="H16" s="905">
        <v>5.0000000000000001E-3</v>
      </c>
      <c r="I16" s="905">
        <v>0</v>
      </c>
      <c r="J16" s="872">
        <v>0</v>
      </c>
      <c r="K16" s="635"/>
      <c r="L16" s="570"/>
      <c r="M16" s="570"/>
      <c r="P16" s="1290"/>
      <c r="Q16" s="1291"/>
      <c r="R16" s="1294"/>
      <c r="S16" s="1292"/>
      <c r="T16" s="1293"/>
      <c r="U16" s="1291"/>
    </row>
    <row r="17" spans="2:23" ht="15" thickTop="1" thickBot="1" x14ac:dyDescent="0.2">
      <c r="B17" s="661"/>
      <c r="C17" s="649"/>
      <c r="D17" s="637"/>
      <c r="E17" s="574"/>
      <c r="F17" s="906" t="s">
        <v>13</v>
      </c>
      <c r="G17" s="910">
        <f>SUM(G8:G16)</f>
        <v>7.1000000000000008E-2</v>
      </c>
      <c r="H17" s="910">
        <f>SUM(H6:H16)</f>
        <v>5.0000000000000001E-3</v>
      </c>
      <c r="I17" s="910">
        <f>SUM(I6:I16)</f>
        <v>1.4E-2</v>
      </c>
      <c r="J17" s="910">
        <f>SUM(J6:J16)</f>
        <v>4.7E-2</v>
      </c>
      <c r="K17" s="636"/>
      <c r="L17" s="574"/>
      <c r="M17" s="574"/>
      <c r="P17" s="1287"/>
      <c r="Q17" s="1296"/>
      <c r="R17" s="1296"/>
      <c r="S17" s="1296"/>
      <c r="T17" s="1296"/>
      <c r="U17" s="1296"/>
      <c r="W17" s="632"/>
    </row>
    <row r="18" spans="2:23" x14ac:dyDescent="0.15">
      <c r="B18" s="659"/>
      <c r="C18" s="986"/>
      <c r="D18" s="622"/>
      <c r="E18" s="574"/>
      <c r="F18" s="1315" t="s">
        <v>2117</v>
      </c>
      <c r="G18" s="1316"/>
      <c r="H18" s="1316"/>
      <c r="I18" s="1316"/>
      <c r="J18" s="1316"/>
      <c r="K18" s="574"/>
      <c r="L18" s="574"/>
      <c r="M18" s="574"/>
      <c r="P18" s="974"/>
      <c r="Q18" s="974"/>
      <c r="R18" s="974"/>
      <c r="S18" s="974"/>
      <c r="T18" s="974"/>
      <c r="U18" s="974"/>
      <c r="W18" s="632"/>
    </row>
    <row r="19" spans="2:23" x14ac:dyDescent="0.15">
      <c r="B19" s="661"/>
      <c r="C19" s="649"/>
      <c r="D19" s="637"/>
      <c r="E19" s="574"/>
      <c r="F19" s="616"/>
      <c r="G19" s="983"/>
      <c r="H19" s="983"/>
      <c r="I19" s="983"/>
      <c r="J19" s="983"/>
      <c r="K19" s="574"/>
      <c r="L19" s="574"/>
      <c r="M19" s="574"/>
      <c r="W19" s="632"/>
    </row>
    <row r="20" spans="2:23" x14ac:dyDescent="0.15">
      <c r="B20" s="661"/>
      <c r="C20" s="649"/>
      <c r="D20" s="637"/>
      <c r="E20" s="574"/>
      <c r="F20" s="1313"/>
      <c r="G20" s="1314"/>
      <c r="H20" s="1314"/>
      <c r="I20" s="1314"/>
      <c r="J20" s="1314"/>
      <c r="K20" s="574"/>
      <c r="L20" s="574"/>
      <c r="M20" s="574"/>
      <c r="W20" s="632"/>
    </row>
    <row r="21" spans="2:23" x14ac:dyDescent="0.15">
      <c r="C21" s="566"/>
      <c r="D21" s="574"/>
      <c r="E21" s="574"/>
      <c r="F21" s="1313"/>
      <c r="G21" s="1314"/>
      <c r="H21" s="1314"/>
      <c r="I21" s="1314"/>
      <c r="J21" s="1314"/>
      <c r="K21" s="574"/>
      <c r="L21" s="574"/>
      <c r="M21" s="574"/>
      <c r="W21" s="632"/>
    </row>
    <row r="22" spans="2:23" x14ac:dyDescent="0.15">
      <c r="C22" s="566"/>
      <c r="D22" s="566"/>
      <c r="K22" s="574"/>
      <c r="L22" s="574"/>
      <c r="M22" s="574"/>
      <c r="W22" s="632"/>
    </row>
    <row r="23" spans="2:23" ht="12" thickBot="1" x14ac:dyDescent="0.2">
      <c r="B23" s="653" t="s">
        <v>1393</v>
      </c>
      <c r="C23" s="611">
        <f>'B.1 - Dev Pro Forma'!E71</f>
        <v>20121.512590080001</v>
      </c>
      <c r="D23" s="611">
        <f>'B.1 - Dev Pro Forma'!F71</f>
        <v>38985.43064328</v>
      </c>
      <c r="E23" s="611">
        <f>'B.1 - Dev Pro Forma'!G71</f>
        <v>45273.403327680004</v>
      </c>
      <c r="F23" s="611">
        <f>'B.1 - Dev Pro Forma'!H71</f>
        <v>52818.970548960002</v>
      </c>
      <c r="G23" s="611">
        <f>'B.1 - Dev Pro Forma'!I71</f>
        <v>59106.943233359998</v>
      </c>
      <c r="H23" s="611">
        <f>'B.1 - Dev Pro Forma'!J71</f>
        <v>65394.915917760009</v>
      </c>
      <c r="I23" s="611">
        <f>'B.1 - Dev Pro Forma'!K71</f>
        <v>75455.672212799996</v>
      </c>
      <c r="J23" s="611">
        <f>'B.1 - Dev Pro Forma'!L71</f>
        <v>85516.428507839999</v>
      </c>
      <c r="K23" s="611">
        <f>'B.1 - Dev Pro Forma'!M71</f>
        <v>98092.373876639991</v>
      </c>
      <c r="L23" s="611">
        <f>'B.1 - Dev Pro Forma'!N71</f>
        <v>110668.31924544</v>
      </c>
      <c r="M23" s="611">
        <f>'B.1 - Dev Pro Forma'!O71</f>
        <v>125759.45368799999</v>
      </c>
      <c r="N23" s="611">
        <f>M23</f>
        <v>125759.45368799999</v>
      </c>
      <c r="O23" s="611">
        <f t="shared" ref="O23:V23" si="0">N23</f>
        <v>125759.45368799999</v>
      </c>
      <c r="P23" s="611">
        <f t="shared" si="0"/>
        <v>125759.45368799999</v>
      </c>
      <c r="Q23" s="611">
        <f t="shared" si="0"/>
        <v>125759.45368799999</v>
      </c>
      <c r="R23" s="611">
        <f t="shared" si="0"/>
        <v>125759.45368799999</v>
      </c>
      <c r="S23" s="611">
        <f t="shared" si="0"/>
        <v>125759.45368799999</v>
      </c>
      <c r="T23" s="611">
        <f t="shared" si="0"/>
        <v>125759.45368799999</v>
      </c>
      <c r="U23" s="611">
        <f t="shared" si="0"/>
        <v>125759.45368799999</v>
      </c>
      <c r="V23" s="611">
        <f t="shared" si="0"/>
        <v>125759.45368799999</v>
      </c>
      <c r="W23" s="570"/>
    </row>
    <row r="24" spans="2:23" x14ac:dyDescent="0.15">
      <c r="B24" s="664" t="s">
        <v>1326</v>
      </c>
      <c r="C24" s="638"/>
      <c r="D24" s="638"/>
      <c r="E24" s="638"/>
      <c r="F24" s="638"/>
      <c r="G24" s="638"/>
      <c r="H24" s="639"/>
      <c r="I24" s="638"/>
      <c r="J24" s="638"/>
      <c r="K24" s="638"/>
      <c r="L24" s="638"/>
      <c r="M24" s="638"/>
      <c r="N24" s="638"/>
      <c r="O24" s="638"/>
      <c r="P24" s="638"/>
      <c r="Q24" s="638"/>
      <c r="R24" s="638"/>
      <c r="S24" s="638"/>
      <c r="T24" s="638"/>
      <c r="U24" s="638"/>
      <c r="V24" s="638"/>
      <c r="W24" s="614"/>
    </row>
    <row r="25" spans="2:23" x14ac:dyDescent="0.15">
      <c r="B25" s="663"/>
      <c r="C25" s="607">
        <v>2020</v>
      </c>
      <c r="D25" s="607">
        <f t="shared" ref="D25:O25" si="1">C25+1</f>
        <v>2021</v>
      </c>
      <c r="E25" s="607">
        <f t="shared" si="1"/>
        <v>2022</v>
      </c>
      <c r="F25" s="607">
        <f t="shared" si="1"/>
        <v>2023</v>
      </c>
      <c r="G25" s="607">
        <f t="shared" si="1"/>
        <v>2024</v>
      </c>
      <c r="H25" s="607">
        <f t="shared" si="1"/>
        <v>2025</v>
      </c>
      <c r="I25" s="607">
        <f t="shared" si="1"/>
        <v>2026</v>
      </c>
      <c r="J25" s="607">
        <f t="shared" si="1"/>
        <v>2027</v>
      </c>
      <c r="K25" s="607">
        <f t="shared" si="1"/>
        <v>2028</v>
      </c>
      <c r="L25" s="607">
        <f t="shared" si="1"/>
        <v>2029</v>
      </c>
      <c r="M25" s="607">
        <f t="shared" si="1"/>
        <v>2030</v>
      </c>
      <c r="N25" s="607">
        <f t="shared" si="1"/>
        <v>2031</v>
      </c>
      <c r="O25" s="607">
        <f t="shared" si="1"/>
        <v>2032</v>
      </c>
      <c r="P25" s="607">
        <f t="shared" ref="P25" si="2">O25+1</f>
        <v>2033</v>
      </c>
      <c r="Q25" s="607">
        <f t="shared" ref="Q25" si="3">P25+1</f>
        <v>2034</v>
      </c>
      <c r="R25" s="607">
        <f t="shared" ref="R25" si="4">Q25+1</f>
        <v>2035</v>
      </c>
      <c r="S25" s="607">
        <f t="shared" ref="S25" si="5">R25+1</f>
        <v>2036</v>
      </c>
      <c r="T25" s="607">
        <f t="shared" ref="T25" si="6">S25+1</f>
        <v>2037</v>
      </c>
      <c r="U25" s="607">
        <f t="shared" ref="U25" si="7">T25+1</f>
        <v>2038</v>
      </c>
      <c r="V25" s="607">
        <f t="shared" ref="V25" si="8">U25+1</f>
        <v>2039</v>
      </c>
      <c r="W25" s="612"/>
    </row>
    <row r="26" spans="2:23" ht="12" thickBot="1" x14ac:dyDescent="0.2">
      <c r="B26" s="652" t="s">
        <v>34</v>
      </c>
      <c r="C26" s="609">
        <v>255</v>
      </c>
      <c r="D26" s="609">
        <f>C26*(1+$C$10)</f>
        <v>260.10000000000002</v>
      </c>
      <c r="E26" s="609">
        <f t="shared" ref="E26:O26" si="9">D26*(1+$C$10)</f>
        <v>265.30200000000002</v>
      </c>
      <c r="F26" s="609">
        <f t="shared" si="9"/>
        <v>270.60804000000002</v>
      </c>
      <c r="G26" s="609">
        <f t="shared" si="9"/>
        <v>276.0202008</v>
      </c>
      <c r="H26" s="609">
        <f t="shared" si="9"/>
        <v>281.54060481599998</v>
      </c>
      <c r="I26" s="609">
        <f t="shared" si="9"/>
        <v>287.17141691232001</v>
      </c>
      <c r="J26" s="609">
        <f t="shared" si="9"/>
        <v>292.91484525056643</v>
      </c>
      <c r="K26" s="609">
        <f t="shared" si="9"/>
        <v>298.77314215557777</v>
      </c>
      <c r="L26" s="609">
        <f t="shared" si="9"/>
        <v>304.74860499868936</v>
      </c>
      <c r="M26" s="609">
        <f t="shared" si="9"/>
        <v>310.84357709866316</v>
      </c>
      <c r="N26" s="609">
        <f t="shared" si="9"/>
        <v>317.06044864063642</v>
      </c>
      <c r="O26" s="609">
        <f t="shared" si="9"/>
        <v>323.40165761344917</v>
      </c>
      <c r="P26" s="609">
        <f t="shared" ref="P26" si="10">O26*(1+$C$10)</f>
        <v>329.86969076571819</v>
      </c>
      <c r="Q26" s="609">
        <f t="shared" ref="Q26" si="11">P26*(1+$C$10)</f>
        <v>336.46708458103257</v>
      </c>
      <c r="R26" s="609">
        <f t="shared" ref="R26" si="12">Q26*(1+$C$10)</f>
        <v>343.19642627265324</v>
      </c>
      <c r="S26" s="609">
        <f t="shared" ref="S26" si="13">R26*(1+$C$10)</f>
        <v>350.06035479810629</v>
      </c>
      <c r="T26" s="609">
        <f t="shared" ref="T26" si="14">S26*(1+$C$10)</f>
        <v>357.0615618940684</v>
      </c>
      <c r="U26" s="609">
        <f t="shared" ref="U26" si="15">T26*(1+$C$10)</f>
        <v>364.20279313194976</v>
      </c>
      <c r="V26" s="609">
        <f t="shared" ref="V26" si="16">U26*(1+$C$10)</f>
        <v>371.48684899458874</v>
      </c>
      <c r="W26" s="599"/>
    </row>
    <row r="27" spans="2:23" x14ac:dyDescent="0.15">
      <c r="B27" s="664" t="s">
        <v>4</v>
      </c>
      <c r="C27" s="638"/>
      <c r="D27" s="638"/>
      <c r="E27" s="638"/>
      <c r="F27" s="638"/>
      <c r="G27" s="638"/>
      <c r="H27" s="639"/>
      <c r="I27" s="638"/>
      <c r="J27" s="638"/>
      <c r="K27" s="638"/>
      <c r="L27" s="638"/>
      <c r="M27" s="638"/>
      <c r="N27" s="638"/>
      <c r="O27" s="638"/>
      <c r="P27" s="638"/>
      <c r="Q27" s="638"/>
      <c r="R27" s="638"/>
      <c r="S27" s="638"/>
      <c r="T27" s="638"/>
      <c r="U27" s="638"/>
      <c r="V27" s="638"/>
      <c r="W27" s="638"/>
    </row>
    <row r="28" spans="2:23" x14ac:dyDescent="0.15">
      <c r="B28" s="663"/>
      <c r="C28" s="607">
        <v>2020</v>
      </c>
      <c r="D28" s="607">
        <f>C28+1</f>
        <v>2021</v>
      </c>
      <c r="E28" s="607">
        <f>D28+1</f>
        <v>2022</v>
      </c>
      <c r="F28" s="607">
        <f>E28+1</f>
        <v>2023</v>
      </c>
      <c r="G28" s="607">
        <f>F28+1</f>
        <v>2024</v>
      </c>
      <c r="H28" s="607">
        <f>G28+1</f>
        <v>2025</v>
      </c>
      <c r="I28" s="607">
        <f t="shared" ref="I28:O28" si="17">H28+1</f>
        <v>2026</v>
      </c>
      <c r="J28" s="607">
        <f t="shared" si="17"/>
        <v>2027</v>
      </c>
      <c r="K28" s="607">
        <f t="shared" si="17"/>
        <v>2028</v>
      </c>
      <c r="L28" s="607">
        <f t="shared" si="17"/>
        <v>2029</v>
      </c>
      <c r="M28" s="607">
        <f t="shared" si="17"/>
        <v>2030</v>
      </c>
      <c r="N28" s="607">
        <f t="shared" si="17"/>
        <v>2031</v>
      </c>
      <c r="O28" s="607">
        <f t="shared" si="17"/>
        <v>2032</v>
      </c>
      <c r="P28" s="607">
        <f t="shared" ref="P28" si="18">O28+1</f>
        <v>2033</v>
      </c>
      <c r="Q28" s="607">
        <f t="shared" ref="Q28" si="19">P28+1</f>
        <v>2034</v>
      </c>
      <c r="R28" s="607">
        <f t="shared" ref="R28" si="20">Q28+1</f>
        <v>2035</v>
      </c>
      <c r="S28" s="607">
        <f t="shared" ref="S28" si="21">R28+1</f>
        <v>2036</v>
      </c>
      <c r="T28" s="607">
        <f t="shared" ref="T28" si="22">S28+1</f>
        <v>2037</v>
      </c>
      <c r="U28" s="607">
        <f t="shared" ref="U28" si="23">T28+1</f>
        <v>2038</v>
      </c>
      <c r="V28" s="607">
        <f t="shared" ref="V28" si="24">U28+1</f>
        <v>2039</v>
      </c>
      <c r="W28" s="607" t="s">
        <v>13</v>
      </c>
    </row>
    <row r="29" spans="2:23" x14ac:dyDescent="0.15">
      <c r="B29" s="665" t="str">
        <f>B26</f>
        <v>Retail</v>
      </c>
      <c r="C29" s="609">
        <f>C23*C26</f>
        <v>5130985.7104704008</v>
      </c>
      <c r="D29" s="609">
        <f>D23*D26</f>
        <v>10140110.510317128</v>
      </c>
      <c r="E29" s="609">
        <f>E23*E26</f>
        <v>12011124.44964016</v>
      </c>
      <c r="F29" s="609">
        <f>F23*F26</f>
        <v>14293238.095071791</v>
      </c>
      <c r="G29" s="609">
        <f t="shared" ref="G29:V29" si="25">G23*G26</f>
        <v>16314710.339946227</v>
      </c>
      <c r="H29" s="609">
        <f t="shared" si="25"/>
        <v>18411324.179377619</v>
      </c>
      <c r="I29" s="609">
        <f t="shared" si="25"/>
        <v>21668712.303421348</v>
      </c>
      <c r="J29" s="609">
        <f t="shared" si="25"/>
        <v>25049031.422755081</v>
      </c>
      <c r="K29" s="609">
        <f t="shared" si="25"/>
        <v>29307366.764623445</v>
      </c>
      <c r="L29" s="609">
        <f t="shared" si="25"/>
        <v>33726015.907597445</v>
      </c>
      <c r="M29" s="609">
        <f t="shared" si="25"/>
        <v>39091518.438351586</v>
      </c>
      <c r="N29" s="609">
        <f t="shared" si="25"/>
        <v>39873348.807118617</v>
      </c>
      <c r="O29" s="609">
        <f t="shared" si="25"/>
        <v>40670815.783260994</v>
      </c>
      <c r="P29" s="609">
        <f t="shared" si="25"/>
        <v>41484232.098926216</v>
      </c>
      <c r="Q29" s="609">
        <f t="shared" si="25"/>
        <v>42313916.740904741</v>
      </c>
      <c r="R29" s="609">
        <f t="shared" si="25"/>
        <v>43160195.075722843</v>
      </c>
      <c r="S29" s="609">
        <f t="shared" si="25"/>
        <v>44023398.977237292</v>
      </c>
      <c r="T29" s="609">
        <f t="shared" si="25"/>
        <v>44903866.956782036</v>
      </c>
      <c r="U29" s="609">
        <f t="shared" si="25"/>
        <v>45801944.295917675</v>
      </c>
      <c r="V29" s="609">
        <f t="shared" si="25"/>
        <v>46717983.181836031</v>
      </c>
      <c r="W29" s="609">
        <f>SUM(C29:V29)</f>
        <v>614093840.03927863</v>
      </c>
    </row>
    <row r="30" spans="2:23" x14ac:dyDescent="0.15">
      <c r="B30" s="666" t="s">
        <v>1237</v>
      </c>
      <c r="C30" s="640">
        <f t="shared" ref="C30:O30" si="26">SUM(C29:C29)</f>
        <v>5130985.7104704008</v>
      </c>
      <c r="D30" s="640">
        <f t="shared" si="26"/>
        <v>10140110.510317128</v>
      </c>
      <c r="E30" s="640">
        <f t="shared" si="26"/>
        <v>12011124.44964016</v>
      </c>
      <c r="F30" s="640">
        <f t="shared" si="26"/>
        <v>14293238.095071791</v>
      </c>
      <c r="G30" s="640">
        <f t="shared" si="26"/>
        <v>16314710.339946227</v>
      </c>
      <c r="H30" s="640">
        <f t="shared" si="26"/>
        <v>18411324.179377619</v>
      </c>
      <c r="I30" s="640">
        <f t="shared" si="26"/>
        <v>21668712.303421348</v>
      </c>
      <c r="J30" s="640">
        <f t="shared" si="26"/>
        <v>25049031.422755081</v>
      </c>
      <c r="K30" s="640">
        <f t="shared" si="26"/>
        <v>29307366.764623445</v>
      </c>
      <c r="L30" s="640">
        <f t="shared" si="26"/>
        <v>33726015.907597445</v>
      </c>
      <c r="M30" s="640">
        <f t="shared" si="26"/>
        <v>39091518.438351586</v>
      </c>
      <c r="N30" s="640">
        <f t="shared" si="26"/>
        <v>39873348.807118617</v>
      </c>
      <c r="O30" s="640">
        <f t="shared" si="26"/>
        <v>40670815.783260994</v>
      </c>
      <c r="P30" s="640">
        <f t="shared" ref="P30:V30" si="27">SUM(P29:P29)</f>
        <v>41484232.098926216</v>
      </c>
      <c r="Q30" s="640">
        <f t="shared" si="27"/>
        <v>42313916.740904741</v>
      </c>
      <c r="R30" s="640">
        <f t="shared" si="27"/>
        <v>43160195.075722843</v>
      </c>
      <c r="S30" s="640">
        <f t="shared" si="27"/>
        <v>44023398.977237292</v>
      </c>
      <c r="T30" s="640">
        <f t="shared" si="27"/>
        <v>44903866.956782036</v>
      </c>
      <c r="U30" s="640">
        <f t="shared" si="27"/>
        <v>45801944.295917675</v>
      </c>
      <c r="V30" s="640">
        <f t="shared" si="27"/>
        <v>46717983.181836031</v>
      </c>
      <c r="W30" s="640">
        <f>SUM(C30:V30)</f>
        <v>614093840.03927863</v>
      </c>
    </row>
    <row r="31" spans="2:23" x14ac:dyDescent="0.15">
      <c r="C31" s="604"/>
      <c r="D31" s="604"/>
      <c r="E31" s="604"/>
      <c r="F31" s="604"/>
      <c r="G31" s="604"/>
      <c r="H31" s="605"/>
      <c r="I31" s="605"/>
      <c r="J31" s="605"/>
      <c r="K31" s="605"/>
      <c r="L31" s="605"/>
      <c r="U31" s="973"/>
      <c r="W31" s="610"/>
    </row>
    <row r="32" spans="2:23" ht="13.5" customHeight="1" thickBot="1" x14ac:dyDescent="0.2">
      <c r="C32" s="604"/>
      <c r="D32" s="611"/>
      <c r="E32" s="604"/>
      <c r="F32" s="604"/>
      <c r="G32" s="604"/>
      <c r="H32" s="605"/>
      <c r="I32" s="605"/>
      <c r="J32" s="605"/>
      <c r="K32" s="605"/>
      <c r="L32" s="605"/>
      <c r="M32" s="605"/>
      <c r="N32" s="605"/>
      <c r="U32" s="973"/>
      <c r="W32" s="610"/>
    </row>
    <row r="33" spans="2:26" x14ac:dyDescent="0.15">
      <c r="B33" s="667" t="s">
        <v>1211</v>
      </c>
      <c r="C33" s="642"/>
      <c r="D33" s="642"/>
      <c r="E33" s="642"/>
      <c r="F33" s="642"/>
      <c r="G33" s="642"/>
      <c r="H33" s="641"/>
      <c r="I33" s="642"/>
      <c r="J33" s="642"/>
      <c r="K33" s="642"/>
      <c r="L33" s="642"/>
      <c r="M33" s="642"/>
      <c r="N33" s="642"/>
      <c r="O33" s="642"/>
      <c r="P33" s="642"/>
      <c r="Q33" s="642"/>
      <c r="R33" s="642"/>
      <c r="S33" s="642"/>
      <c r="T33" s="642"/>
      <c r="U33" s="642"/>
      <c r="V33" s="642"/>
      <c r="W33" s="606"/>
      <c r="X33" s="606"/>
    </row>
    <row r="34" spans="2:26" x14ac:dyDescent="0.15">
      <c r="B34" s="663"/>
      <c r="C34" s="607">
        <v>2020</v>
      </c>
      <c r="D34" s="607">
        <f>C34+1</f>
        <v>2021</v>
      </c>
      <c r="E34" s="607">
        <f>D34+1</f>
        <v>2022</v>
      </c>
      <c r="F34" s="607">
        <f>E34+1</f>
        <v>2023</v>
      </c>
      <c r="G34" s="607">
        <f>F34+1</f>
        <v>2024</v>
      </c>
      <c r="H34" s="607">
        <f>G34+1</f>
        <v>2025</v>
      </c>
      <c r="I34" s="607">
        <f t="shared" ref="I34:O34" si="28">H34+1</f>
        <v>2026</v>
      </c>
      <c r="J34" s="607">
        <f t="shared" si="28"/>
        <v>2027</v>
      </c>
      <c r="K34" s="607">
        <f t="shared" si="28"/>
        <v>2028</v>
      </c>
      <c r="L34" s="607">
        <f t="shared" si="28"/>
        <v>2029</v>
      </c>
      <c r="M34" s="607">
        <f t="shared" si="28"/>
        <v>2030</v>
      </c>
      <c r="N34" s="607">
        <f t="shared" si="28"/>
        <v>2031</v>
      </c>
      <c r="O34" s="607">
        <f t="shared" si="28"/>
        <v>2032</v>
      </c>
      <c r="P34" s="607">
        <f t="shared" ref="P34" si="29">O34+1</f>
        <v>2033</v>
      </c>
      <c r="Q34" s="607">
        <f t="shared" ref="Q34" si="30">P34+1</f>
        <v>2034</v>
      </c>
      <c r="R34" s="607">
        <f t="shared" ref="R34" si="31">Q34+1</f>
        <v>2035</v>
      </c>
      <c r="S34" s="607">
        <f t="shared" ref="S34" si="32">R34+1</f>
        <v>2036</v>
      </c>
      <c r="T34" s="607">
        <f t="shared" ref="T34" si="33">S34+1</f>
        <v>2037</v>
      </c>
      <c r="U34" s="607">
        <f t="shared" ref="U34" si="34">T34+1</f>
        <v>2038</v>
      </c>
      <c r="V34" s="607">
        <f t="shared" ref="V34" si="35">U34+1</f>
        <v>2039</v>
      </c>
      <c r="W34" s="607" t="s">
        <v>13</v>
      </c>
      <c r="X34" s="607" t="s">
        <v>1386</v>
      </c>
    </row>
    <row r="35" spans="2:26" x14ac:dyDescent="0.15">
      <c r="B35" s="665" t="s">
        <v>1212</v>
      </c>
      <c r="C35" s="609">
        <f>C30</f>
        <v>5130985.7104704008</v>
      </c>
      <c r="D35" s="609">
        <f t="shared" ref="D35:O35" si="36">D30</f>
        <v>10140110.510317128</v>
      </c>
      <c r="E35" s="609">
        <f t="shared" si="36"/>
        <v>12011124.44964016</v>
      </c>
      <c r="F35" s="609">
        <f t="shared" si="36"/>
        <v>14293238.095071791</v>
      </c>
      <c r="G35" s="609">
        <f t="shared" si="36"/>
        <v>16314710.339946227</v>
      </c>
      <c r="H35" s="609">
        <f t="shared" si="36"/>
        <v>18411324.179377619</v>
      </c>
      <c r="I35" s="609">
        <f t="shared" si="36"/>
        <v>21668712.303421348</v>
      </c>
      <c r="J35" s="609">
        <f t="shared" si="36"/>
        <v>25049031.422755081</v>
      </c>
      <c r="K35" s="609">
        <f t="shared" si="36"/>
        <v>29307366.764623445</v>
      </c>
      <c r="L35" s="609">
        <f t="shared" si="36"/>
        <v>33726015.907597445</v>
      </c>
      <c r="M35" s="609">
        <f t="shared" si="36"/>
        <v>39091518.438351586</v>
      </c>
      <c r="N35" s="609">
        <f t="shared" si="36"/>
        <v>39873348.807118617</v>
      </c>
      <c r="O35" s="609">
        <f t="shared" si="36"/>
        <v>40670815.783260994</v>
      </c>
      <c r="P35" s="609">
        <f t="shared" ref="P35:V35" si="37">P30</f>
        <v>41484232.098926216</v>
      </c>
      <c r="Q35" s="609">
        <f t="shared" si="37"/>
        <v>42313916.740904741</v>
      </c>
      <c r="R35" s="609">
        <f t="shared" si="37"/>
        <v>43160195.075722843</v>
      </c>
      <c r="S35" s="609">
        <f t="shared" si="37"/>
        <v>44023398.977237292</v>
      </c>
      <c r="T35" s="609">
        <f t="shared" si="37"/>
        <v>44903866.956782036</v>
      </c>
      <c r="U35" s="609">
        <f t="shared" si="37"/>
        <v>45801944.295917675</v>
      </c>
      <c r="V35" s="609">
        <f t="shared" si="37"/>
        <v>46717983.181836031</v>
      </c>
      <c r="W35" s="609">
        <f>SUM(C35:V35)</f>
        <v>614093840.03927863</v>
      </c>
      <c r="X35" s="878">
        <f>NPV($C$14,C35:V35)</f>
        <v>23049633.702021882</v>
      </c>
    </row>
    <row r="36" spans="2:26" x14ac:dyDescent="0.15">
      <c r="B36" s="657" t="s">
        <v>1213</v>
      </c>
      <c r="C36" s="609">
        <f t="shared" ref="C36:O36" si="38">C35*$I$17*$C$14</f>
        <v>35916.899973292806</v>
      </c>
      <c r="D36" s="609">
        <f t="shared" si="38"/>
        <v>70980.7735722199</v>
      </c>
      <c r="E36" s="609">
        <f t="shared" si="38"/>
        <v>84077.871147481128</v>
      </c>
      <c r="F36" s="609">
        <f t="shared" si="38"/>
        <v>100052.66666550253</v>
      </c>
      <c r="G36" s="609">
        <f t="shared" si="38"/>
        <v>114202.97237962359</v>
      </c>
      <c r="H36" s="609">
        <f t="shared" si="38"/>
        <v>128879.26925564333</v>
      </c>
      <c r="I36" s="609">
        <f t="shared" si="38"/>
        <v>151680.98612394943</v>
      </c>
      <c r="J36" s="609">
        <f t="shared" si="38"/>
        <v>175343.21995928558</v>
      </c>
      <c r="K36" s="609">
        <f t="shared" si="38"/>
        <v>205151.5673523641</v>
      </c>
      <c r="L36" s="609">
        <f t="shared" si="38"/>
        <v>236082.11135318212</v>
      </c>
      <c r="M36" s="609">
        <f t="shared" si="38"/>
        <v>273640.62906846113</v>
      </c>
      <c r="N36" s="609">
        <f t="shared" si="38"/>
        <v>279113.44164983032</v>
      </c>
      <c r="O36" s="609">
        <f t="shared" si="38"/>
        <v>284695.71048282698</v>
      </c>
      <c r="P36" s="609">
        <f t="shared" ref="P36:V36" si="39">P35*$I$17*$C$14</f>
        <v>290389.62469248351</v>
      </c>
      <c r="Q36" s="609">
        <f t="shared" si="39"/>
        <v>296197.41718633322</v>
      </c>
      <c r="R36" s="609">
        <f t="shared" si="39"/>
        <v>302121.36553005991</v>
      </c>
      <c r="S36" s="609">
        <f t="shared" si="39"/>
        <v>308163.79284066107</v>
      </c>
      <c r="T36" s="609">
        <f t="shared" si="39"/>
        <v>314327.06869747426</v>
      </c>
      <c r="U36" s="609">
        <f t="shared" si="39"/>
        <v>320613.61007142375</v>
      </c>
      <c r="V36" s="609">
        <f t="shared" si="39"/>
        <v>327025.88227285224</v>
      </c>
      <c r="W36" s="609">
        <f>SUM(C36:V36)</f>
        <v>4298656.8802749515</v>
      </c>
      <c r="X36" s="879">
        <f>NPV($C$14,C36:V36)</f>
        <v>161347.43591415323</v>
      </c>
    </row>
    <row r="37" spans="2:26" x14ac:dyDescent="0.15">
      <c r="B37" s="668" t="s">
        <v>1214</v>
      </c>
      <c r="C37" s="643">
        <f t="shared" ref="C37:O37" si="40">C35*$H$17*$C$15</f>
        <v>20523.942841881606</v>
      </c>
      <c r="D37" s="643">
        <f t="shared" si="40"/>
        <v>40560.442041268514</v>
      </c>
      <c r="E37" s="643">
        <f t="shared" si="40"/>
        <v>48044.497798560646</v>
      </c>
      <c r="F37" s="643">
        <f t="shared" si="40"/>
        <v>57172.95238028717</v>
      </c>
      <c r="G37" s="643">
        <f t="shared" si="40"/>
        <v>65258.841359784914</v>
      </c>
      <c r="H37" s="643">
        <f t="shared" si="40"/>
        <v>73645.296717510486</v>
      </c>
      <c r="I37" s="643">
        <f t="shared" si="40"/>
        <v>86674.849213685404</v>
      </c>
      <c r="J37" s="643">
        <f t="shared" si="40"/>
        <v>100196.12569102034</v>
      </c>
      <c r="K37" s="643">
        <f t="shared" si="40"/>
        <v>117229.46705849378</v>
      </c>
      <c r="L37" s="643">
        <f t="shared" si="40"/>
        <v>134904.06363038978</v>
      </c>
      <c r="M37" s="643">
        <f t="shared" si="40"/>
        <v>156366.07375340635</v>
      </c>
      <c r="N37" s="643">
        <f t="shared" si="40"/>
        <v>159493.39522847449</v>
      </c>
      <c r="O37" s="643">
        <f t="shared" si="40"/>
        <v>162683.26313304401</v>
      </c>
      <c r="P37" s="643">
        <f t="shared" ref="P37:V37" si="41">P35*$H$17*$C$15</f>
        <v>165936.92839570489</v>
      </c>
      <c r="Q37" s="643">
        <f t="shared" si="41"/>
        <v>169255.66696361898</v>
      </c>
      <c r="R37" s="643">
        <f t="shared" si="41"/>
        <v>172640.78030289139</v>
      </c>
      <c r="S37" s="643">
        <f t="shared" si="41"/>
        <v>176093.59590894918</v>
      </c>
      <c r="T37" s="643">
        <f t="shared" si="41"/>
        <v>179615.46782712816</v>
      </c>
      <c r="U37" s="643">
        <f t="shared" si="41"/>
        <v>183207.77718367073</v>
      </c>
      <c r="V37" s="643">
        <f t="shared" si="41"/>
        <v>186871.93272734413</v>
      </c>
      <c r="W37" s="643">
        <f>SUM(C37:V37)</f>
        <v>2456375.3601571149</v>
      </c>
      <c r="X37" s="880">
        <f>NPV($C$14,C37:V37)</f>
        <v>92198.534808087556</v>
      </c>
      <c r="Z37" s="600"/>
    </row>
    <row r="38" spans="2:26" x14ac:dyDescent="0.15">
      <c r="B38" s="669" t="s">
        <v>1226</v>
      </c>
      <c r="C38" s="620">
        <f t="shared" ref="C38:O38" si="42">SUM(C36:C37)</f>
        <v>56440.842815174416</v>
      </c>
      <c r="D38" s="620">
        <f t="shared" si="42"/>
        <v>111541.21561348841</v>
      </c>
      <c r="E38" s="620">
        <f t="shared" si="42"/>
        <v>132122.36894604177</v>
      </c>
      <c r="F38" s="620">
        <f t="shared" si="42"/>
        <v>157225.6190457897</v>
      </c>
      <c r="G38" s="620">
        <f t="shared" si="42"/>
        <v>179461.81373940851</v>
      </c>
      <c r="H38" s="620">
        <f t="shared" si="42"/>
        <v>202524.5659731538</v>
      </c>
      <c r="I38" s="620">
        <f t="shared" si="42"/>
        <v>238355.83533763484</v>
      </c>
      <c r="J38" s="620">
        <f t="shared" si="42"/>
        <v>275539.34565030591</v>
      </c>
      <c r="K38" s="620">
        <f t="shared" si="42"/>
        <v>322381.03441085789</v>
      </c>
      <c r="L38" s="644">
        <f t="shared" si="42"/>
        <v>370986.17498357187</v>
      </c>
      <c r="M38" s="644">
        <f t="shared" si="42"/>
        <v>430006.70282186748</v>
      </c>
      <c r="N38" s="644">
        <f t="shared" si="42"/>
        <v>438606.83687830484</v>
      </c>
      <c r="O38" s="644">
        <f t="shared" si="42"/>
        <v>447378.97361587099</v>
      </c>
      <c r="P38" s="644">
        <f t="shared" ref="P38:V38" si="43">SUM(P36:P37)</f>
        <v>456326.5530881884</v>
      </c>
      <c r="Q38" s="644">
        <f t="shared" si="43"/>
        <v>465453.08414995216</v>
      </c>
      <c r="R38" s="644">
        <f t="shared" si="43"/>
        <v>474762.1458329513</v>
      </c>
      <c r="S38" s="644">
        <f t="shared" si="43"/>
        <v>484257.38874961028</v>
      </c>
      <c r="T38" s="644">
        <f t="shared" si="43"/>
        <v>493942.53652460244</v>
      </c>
      <c r="U38" s="644">
        <f t="shared" si="43"/>
        <v>503821.38725509448</v>
      </c>
      <c r="V38" s="644">
        <f t="shared" si="43"/>
        <v>513897.81500019634</v>
      </c>
      <c r="W38" s="620">
        <f>SUM(C38:V38)</f>
        <v>6755032.2404320659</v>
      </c>
      <c r="X38" s="881">
        <f>NPV($C$14,C38:V38)</f>
        <v>253545.97072224086</v>
      </c>
    </row>
    <row r="39" spans="2:26" x14ac:dyDescent="0.15">
      <c r="B39" s="670"/>
      <c r="C39" s="609"/>
      <c r="D39" s="609"/>
      <c r="E39" s="609"/>
      <c r="F39" s="609"/>
      <c r="G39" s="609"/>
      <c r="H39" s="609"/>
      <c r="I39" s="609"/>
      <c r="J39" s="609"/>
      <c r="K39" s="609"/>
      <c r="L39" s="599"/>
      <c r="M39" s="599"/>
      <c r="N39" s="599"/>
      <c r="O39" s="599"/>
      <c r="P39" s="599"/>
      <c r="Q39" s="599"/>
      <c r="R39" s="599"/>
      <c r="S39" s="599"/>
      <c r="T39" s="599"/>
      <c r="U39" s="599"/>
      <c r="V39" s="599"/>
    </row>
    <row r="42" spans="2:26" x14ac:dyDescent="0.15">
      <c r="C42" s="987"/>
      <c r="E42" s="898"/>
    </row>
    <row r="43" spans="2:26" x14ac:dyDescent="0.15">
      <c r="C43" s="987"/>
      <c r="E43" s="898"/>
    </row>
    <row r="44" spans="2:26" x14ac:dyDescent="0.15">
      <c r="C44" s="987"/>
      <c r="E44" s="898"/>
    </row>
    <row r="45" spans="2:26" x14ac:dyDescent="0.15">
      <c r="F45" s="988"/>
    </row>
  </sheetData>
  <mergeCells count="4">
    <mergeCell ref="F8:G8"/>
    <mergeCell ref="F21:J21"/>
    <mergeCell ref="F20:J20"/>
    <mergeCell ref="F18:J18"/>
  </mergeCells>
  <printOptions horizontalCentered="1"/>
  <pageMargins left="0.17" right="0.17" top="0.17" bottom="0.28999999999999998" header="0.17" footer="0.17"/>
  <pageSetup paperSize="3" scale="82" orientation="landscape" r:id="rId1"/>
  <headerFooter alignWithMargins="0">
    <oddFooter>&amp;R&amp;Z
&amp;F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5" tint="-0.249977111117893"/>
    <pageSetUpPr fitToPage="1"/>
  </sheetPr>
  <dimension ref="A1:AB39"/>
  <sheetViews>
    <sheetView view="pageBreakPreview" topLeftCell="A10" zoomScale="80" zoomScaleNormal="80" zoomScaleSheetLayoutView="80" zoomScalePageLayoutView="80" workbookViewId="0">
      <selection activeCell="E39" sqref="E39"/>
    </sheetView>
  </sheetViews>
  <sheetFormatPr baseColWidth="10" defaultColWidth="8.83203125" defaultRowHeight="13" outlineLevelCol="1" x14ac:dyDescent="0.15"/>
  <cols>
    <col min="1" max="1" width="6" style="237" customWidth="1"/>
    <col min="2" max="2" width="32.5" style="237" bestFit="1" customWidth="1"/>
    <col min="3" max="3" width="3.6640625" style="27" customWidth="1"/>
    <col min="4" max="4" width="23" style="27" bestFit="1" customWidth="1"/>
    <col min="5" max="5" width="12" style="27" customWidth="1"/>
    <col min="6" max="6" width="12.1640625" style="27" customWidth="1"/>
    <col min="7" max="7" width="11.1640625" style="27" customWidth="1"/>
    <col min="8" max="8" width="12.6640625" style="237" customWidth="1"/>
    <col min="9" max="9" width="13.83203125" style="237" customWidth="1"/>
    <col min="10" max="11" width="12.83203125" style="237" bestFit="1" customWidth="1"/>
    <col min="12" max="12" width="13.83203125" style="237" customWidth="1"/>
    <col min="13" max="13" width="12.83203125" style="237" bestFit="1" customWidth="1"/>
    <col min="14" max="14" width="13.1640625" style="237" bestFit="1" customWidth="1"/>
    <col min="15" max="15" width="12.5" style="237" bestFit="1" customWidth="1" outlineLevel="1"/>
    <col min="16" max="16" width="12.1640625" style="237" bestFit="1" customWidth="1" outlineLevel="1"/>
    <col min="17" max="17" width="11.6640625" style="237" bestFit="1" customWidth="1" outlineLevel="1"/>
    <col min="18" max="18" width="12.1640625" style="237" bestFit="1" customWidth="1" outlineLevel="1"/>
    <col min="19" max="19" width="15" style="237" bestFit="1" customWidth="1"/>
    <col min="20" max="20" width="12.5" style="237" bestFit="1" customWidth="1" outlineLevel="1"/>
    <col min="21" max="21" width="12.5" style="891" bestFit="1" customWidth="1" outlineLevel="1"/>
    <col min="22" max="24" width="12.1640625" style="891" bestFit="1" customWidth="1" outlineLevel="1"/>
    <col min="25" max="25" width="12.5" style="891" bestFit="1" customWidth="1" outlineLevel="1"/>
    <col min="26" max="26" width="12.1640625" style="891" bestFit="1" customWidth="1" outlineLevel="1"/>
    <col min="27" max="28" width="16" style="237" bestFit="1" customWidth="1"/>
    <col min="29" max="16384" width="8.83203125" style="237"/>
  </cols>
  <sheetData>
    <row r="1" spans="1:28" ht="25" x14ac:dyDescent="0.25">
      <c r="A1" s="1" t="str">
        <f>'A.1 - Summary '!B1</f>
        <v>Millcreek Community Reinvestment Agency</v>
      </c>
      <c r="B1" s="236"/>
      <c r="C1" s="236"/>
      <c r="D1" s="236"/>
      <c r="E1" s="236"/>
      <c r="F1" s="236"/>
      <c r="G1" s="236"/>
      <c r="H1" s="236"/>
      <c r="I1" s="236"/>
      <c r="J1" s="236"/>
      <c r="K1" s="236"/>
      <c r="L1" s="236"/>
      <c r="M1" s="236"/>
      <c r="N1" s="236"/>
      <c r="O1" s="236"/>
      <c r="P1" s="236"/>
      <c r="Q1" s="236"/>
      <c r="R1" s="236"/>
      <c r="S1" s="236"/>
      <c r="T1" s="236"/>
      <c r="U1" s="890"/>
      <c r="V1" s="890"/>
      <c r="W1" s="890"/>
      <c r="X1" s="890"/>
      <c r="Y1" s="890"/>
      <c r="Z1" s="890"/>
    </row>
    <row r="2" spans="1:28" ht="18" x14ac:dyDescent="0.2">
      <c r="A2" s="3" t="str">
        <f>'A.1 - Summary '!B2</f>
        <v>Millcreek Center CRA</v>
      </c>
      <c r="B2" s="238"/>
      <c r="C2" s="238"/>
      <c r="F2" s="5"/>
      <c r="I2" s="238"/>
      <c r="J2" s="238"/>
      <c r="K2" s="238"/>
      <c r="L2" s="238"/>
      <c r="M2" s="238"/>
      <c r="N2" s="238"/>
      <c r="O2" s="238"/>
      <c r="P2" s="238"/>
      <c r="Q2" s="238"/>
      <c r="R2" s="238"/>
      <c r="S2" s="238"/>
      <c r="T2" s="238"/>
      <c r="U2" s="892"/>
      <c r="V2" s="892"/>
      <c r="W2" s="892"/>
      <c r="X2" s="892"/>
      <c r="Y2" s="892"/>
      <c r="Z2" s="892"/>
      <c r="AA2" s="238"/>
      <c r="AB2" s="238"/>
    </row>
    <row r="3" spans="1:28" ht="18" x14ac:dyDescent="0.2">
      <c r="A3" s="3" t="str">
        <f>'A.1 - Summary '!B3</f>
        <v>Increment and Budget Analysis</v>
      </c>
      <c r="B3" s="238"/>
      <c r="C3" s="238"/>
      <c r="F3" s="5"/>
      <c r="I3" s="238"/>
      <c r="J3" s="238"/>
      <c r="K3" s="238"/>
      <c r="L3" s="238"/>
      <c r="M3" s="238"/>
      <c r="N3" s="238"/>
      <c r="O3" s="238"/>
      <c r="P3" s="238"/>
      <c r="Q3" s="238"/>
      <c r="R3" s="238"/>
      <c r="S3" s="238"/>
      <c r="T3" s="238"/>
      <c r="U3" s="892"/>
      <c r="V3" s="892"/>
      <c r="W3" s="892"/>
      <c r="X3" s="892"/>
      <c r="Y3" s="892"/>
      <c r="Z3" s="892"/>
      <c r="AA3" s="963"/>
      <c r="AB3" s="238"/>
    </row>
    <row r="4" spans="1:28" ht="18" x14ac:dyDescent="0.2">
      <c r="A4" s="4" t="s">
        <v>1357</v>
      </c>
      <c r="B4" s="238"/>
      <c r="C4" s="238"/>
      <c r="F4" s="5"/>
      <c r="I4" s="238"/>
      <c r="J4" s="238"/>
      <c r="K4" s="238"/>
      <c r="L4" s="238"/>
      <c r="M4" s="238"/>
      <c r="N4" s="238"/>
      <c r="O4" s="238"/>
      <c r="P4" s="238"/>
      <c r="Q4" s="238"/>
      <c r="R4" s="238"/>
      <c r="S4" s="238"/>
      <c r="T4" s="238"/>
      <c r="U4" s="892"/>
      <c r="V4" s="892"/>
      <c r="W4" s="892"/>
      <c r="X4" s="892"/>
      <c r="Y4" s="892"/>
      <c r="Z4" s="892"/>
      <c r="AA4" s="238"/>
      <c r="AB4" s="238"/>
    </row>
    <row r="5" spans="1:28" ht="14" thickBot="1" x14ac:dyDescent="0.2">
      <c r="F5" s="249"/>
    </row>
    <row r="6" spans="1:28" s="239" customFormat="1" ht="16" x14ac:dyDescent="0.2">
      <c r="A6" s="557"/>
      <c r="B6" s="437" t="s">
        <v>1228</v>
      </c>
      <c r="C6" s="438"/>
      <c r="D6" s="439" t="s">
        <v>524</v>
      </c>
      <c r="E6" s="451"/>
      <c r="F6" s="451"/>
      <c r="G6" s="440">
        <v>2020</v>
      </c>
      <c r="H6" s="440">
        <f t="shared" ref="H6:T6" si="0">G6+1</f>
        <v>2021</v>
      </c>
      <c r="I6" s="440">
        <f t="shared" si="0"/>
        <v>2022</v>
      </c>
      <c r="J6" s="440">
        <f t="shared" si="0"/>
        <v>2023</v>
      </c>
      <c r="K6" s="440">
        <f t="shared" si="0"/>
        <v>2024</v>
      </c>
      <c r="L6" s="440">
        <f t="shared" si="0"/>
        <v>2025</v>
      </c>
      <c r="M6" s="440">
        <f t="shared" si="0"/>
        <v>2026</v>
      </c>
      <c r="N6" s="440">
        <f t="shared" si="0"/>
        <v>2027</v>
      </c>
      <c r="O6" s="440">
        <f t="shared" si="0"/>
        <v>2028</v>
      </c>
      <c r="P6" s="440">
        <f t="shared" si="0"/>
        <v>2029</v>
      </c>
      <c r="Q6" s="440">
        <f t="shared" si="0"/>
        <v>2030</v>
      </c>
      <c r="R6" s="440">
        <f t="shared" si="0"/>
        <v>2031</v>
      </c>
      <c r="S6" s="440">
        <f t="shared" si="0"/>
        <v>2032</v>
      </c>
      <c r="T6" s="440">
        <f t="shared" si="0"/>
        <v>2033</v>
      </c>
      <c r="U6" s="440">
        <f t="shared" ref="U6" si="1">T6+1</f>
        <v>2034</v>
      </c>
      <c r="V6" s="440">
        <f t="shared" ref="V6" si="2">U6+1</f>
        <v>2035</v>
      </c>
      <c r="W6" s="440">
        <f t="shared" ref="W6" si="3">V6+1</f>
        <v>2036</v>
      </c>
      <c r="X6" s="440">
        <f t="shared" ref="X6" si="4">W6+1</f>
        <v>2037</v>
      </c>
      <c r="Y6" s="440">
        <f t="shared" ref="Y6" si="5">X6+1</f>
        <v>2038</v>
      </c>
      <c r="Z6" s="440">
        <f t="shared" ref="Z6" si="6">Y6+1</f>
        <v>2039</v>
      </c>
      <c r="AA6" s="440" t="s">
        <v>13</v>
      </c>
      <c r="AB6" s="440" t="s">
        <v>1388</v>
      </c>
    </row>
    <row r="7" spans="1:28" s="891" customFormat="1" ht="12.75" customHeight="1" x14ac:dyDescent="0.15">
      <c r="A7" s="899"/>
      <c r="B7" s="894" t="str">
        <f>'Tax Increment Budget'!B10</f>
        <v xml:space="preserve">Commercial </v>
      </c>
      <c r="C7" s="888"/>
      <c r="D7" s="887" t="s">
        <v>525</v>
      </c>
      <c r="E7" s="887"/>
      <c r="F7" s="450"/>
      <c r="G7" s="740">
        <f>'B.1 - Dev Pro Forma'!E91*$G15*($L$15*(1+$L$17)^(G$6-$L$14))</f>
        <v>22770.85090735013</v>
      </c>
      <c r="H7" s="740">
        <f>'B.1 - Dev Pro Forma'!F91*$G15*($L$15*(1+$L$17)^(H$6-$L$14))</f>
        <v>45221.486723815644</v>
      </c>
      <c r="I7" s="740">
        <f>'B.1 - Dev Pro Forma'!G91*$G15*($L$15*(1+$L$17)^(I$6-$L$14))</f>
        <v>53828.156777703145</v>
      </c>
      <c r="J7" s="740">
        <f>'B.1 - Dev Pro Forma'!H91*$G15*($L$15*(1+$L$17)^(J$6-$L$14))</f>
        <v>64369.504146669991</v>
      </c>
      <c r="K7" s="740">
        <f>'B.1 - Dev Pro Forma'!I91*$G15*($L$15*(1+$L$17)^(K$6-$L$14))</f>
        <v>73833.353863472061</v>
      </c>
      <c r="L7" s="740">
        <f>'B.1 - Dev Pro Forma'!J91*$G15*($L$15*(1+$L$17)^(L$6-$L$14))</f>
        <v>83730.165126022592</v>
      </c>
      <c r="M7" s="740">
        <f>'B.1 - Dev Pro Forma'!K91*$G15*($L$15*(1+$L$17)^(M$6-$L$14))</f>
        <v>99027.022216353624</v>
      </c>
      <c r="N7" s="740">
        <f>'B.1 - Dev Pro Forma'!L91*$G15*($L$15*(1+$L$17)^(N$6-$L$14))</f>
        <v>115036.39080799744</v>
      </c>
      <c r="O7" s="740">
        <f>'B.1 - Dev Pro Forma'!M91*$G15*($L$15*(1+$L$17)^(O$6-$L$14))</f>
        <v>135252.34478087348</v>
      </c>
      <c r="P7" s="740">
        <f>'B.1 - Dev Pro Forma'!N91*$G15*($L$15*(1+$L$17)^(P$6-$L$14))</f>
        <v>156407.19870813831</v>
      </c>
      <c r="Q7" s="740">
        <f>'B.1 - Dev Pro Forma'!O91*$G15*($L$15*(1+$L$17)^(Q$6-$L$14))</f>
        <v>182178.8394043656</v>
      </c>
      <c r="R7" s="740">
        <f>'B.1 - Dev Pro Forma'!P91*$G15*($L$15*(1+$L$17)^(R$6-$L$14))</f>
        <v>186733.31038947476</v>
      </c>
      <c r="S7" s="740">
        <f>'B.1 - Dev Pro Forma'!Q91*$G15*($L$15*(1+$L$17)^(S$6-$L$14))</f>
        <v>191401.6431492116</v>
      </c>
      <c r="T7" s="740">
        <f>'B.1 - Dev Pro Forma'!R91*$G15*($L$15*(1+$L$17)^(T$6-$L$14))</f>
        <v>196186.68422794191</v>
      </c>
      <c r="U7" s="740">
        <f>'B.1 - Dev Pro Forma'!S91*$G15*($L$15*(1+$L$17)^(U$6-$L$14))</f>
        <v>201091.35133364046</v>
      </c>
      <c r="V7" s="740">
        <f>'B.1 - Dev Pro Forma'!T91*$G15*($L$15*(1+$L$17)^(V$6-$L$14))</f>
        <v>206118.63511698143</v>
      </c>
      <c r="W7" s="740">
        <f>'B.1 - Dev Pro Forma'!U91*$G15*($L$15*(1+$L$17)^(W$6-$L$14))</f>
        <v>211271.60099490595</v>
      </c>
      <c r="X7" s="740">
        <f>'B.1 - Dev Pro Forma'!V91*$G15*($L$15*(1+$L$17)^(X$6-$L$14))</f>
        <v>216553.39101977862</v>
      </c>
      <c r="Y7" s="740">
        <f>'B.1 - Dev Pro Forma'!W91*$G15*($L$15*(1+$L$17)^(Y$6-$L$14))</f>
        <v>221967.22579527303</v>
      </c>
      <c r="Z7" s="740">
        <f>'B.1 - Dev Pro Forma'!X91*$G15*($L$15*(1+$L$17)^(Z$6-$L$14))</f>
        <v>227516.40644015485</v>
      </c>
      <c r="AA7" s="741">
        <f t="shared" ref="AA7" si="7">SUM(G7:Z7)</f>
        <v>2890495.5619301246</v>
      </c>
      <c r="AB7" s="901">
        <f>NPV($L$19,G7:Z7)</f>
        <v>1762910.6665128968</v>
      </c>
    </row>
    <row r="8" spans="1:28" s="891" customFormat="1" ht="12.75" customHeight="1" x14ac:dyDescent="0.15">
      <c r="A8" s="1106"/>
      <c r="B8" s="894" t="str">
        <f>'Tax Increment Budget'!B11</f>
        <v>Office</v>
      </c>
      <c r="C8" s="888"/>
      <c r="D8" s="887" t="s">
        <v>525</v>
      </c>
      <c r="E8" s="887"/>
      <c r="F8" s="450"/>
      <c r="G8" s="740">
        <f>'B.1 - Dev Pro Forma'!E92*$G16*($L$15*(1+$L$17)^(G$6-$L$14))</f>
        <v>0</v>
      </c>
      <c r="H8" s="740">
        <f>'B.1 - Dev Pro Forma'!F92*$G16*($L$15*(1+$L$17)^(H$6-$L$14))</f>
        <v>25982.034297696362</v>
      </c>
      <c r="I8" s="740">
        <f>'B.1 - Dev Pro Forma'!G92*$G16*($L$15*(1+$L$17)^(I$6-$L$14))</f>
        <v>59921.066599062222</v>
      </c>
      <c r="J8" s="740">
        <f>'B.1 - Dev Pro Forma'!H92*$G16*($L$15*(1+$L$17)^(J$6-$L$14))</f>
        <v>109189.49913606893</v>
      </c>
      <c r="K8" s="740">
        <f>'B.1 - Dev Pro Forma'!I92*$G16*($L$15*(1+$L$17)^(K$6-$L$14))</f>
        <v>160883.90263330156</v>
      </c>
      <c r="L8" s="740">
        <f>'B.1 - Dev Pro Forma'!J92*$G16*($L$15*(1+$L$17)^(L$6-$L$14))</f>
        <v>222264.60896405031</v>
      </c>
      <c r="M8" s="740">
        <f>'B.1 - Dev Pro Forma'!K92*$G16*($L$15*(1+$L$17)^(M$6-$L$14))</f>
        <v>286613.79817219067</v>
      </c>
      <c r="N8" s="740">
        <f>'B.1 - Dev Pro Forma'!L92*$G16*($L$15*(1+$L$17)^(N$6-$L$14))</f>
        <v>354041.53146013548</v>
      </c>
      <c r="O8" s="740">
        <f>'B.1 - Dev Pro Forma'!M92*$G16*($L$15*(1+$L$17)^(O$6-$L$14))</f>
        <v>424661.51778861997</v>
      </c>
      <c r="P8" s="740">
        <f>'B.1 - Dev Pro Forma'!N92*$G16*($L$15*(1+$L$17)^(P$6-$L$14))</f>
        <v>506505.37394424487</v>
      </c>
      <c r="Q8" s="740">
        <f>'B.1 - Dev Pro Forma'!O92*$G16*($L$15*(1+$L$17)^(Q$6-$L$14))</f>
        <v>616512.00984776043</v>
      </c>
      <c r="R8" s="740">
        <f>'B.1 - Dev Pro Forma'!P92*$G16*($L$15*(1+$L$17)^(R$6-$L$14))</f>
        <v>731702.41168773675</v>
      </c>
      <c r="S8" s="740">
        <f>'B.1 - Dev Pro Forma'!Q92*$G16*($L$15*(1+$L$17)^(S$6-$L$14))</f>
        <v>852267.01361355686</v>
      </c>
      <c r="T8" s="740">
        <f>'B.1 - Dev Pro Forma'!R92*$G16*($L$15*(1+$L$17)^(T$6-$L$14))</f>
        <v>873573.68895389582</v>
      </c>
      <c r="U8" s="740">
        <f>'B.1 - Dev Pro Forma'!S92*$G16*($L$15*(1+$L$17)^(U$6-$L$14))</f>
        <v>895413.03117774322</v>
      </c>
      <c r="V8" s="740">
        <f>'B.1 - Dev Pro Forma'!T92*$G16*($L$15*(1+$L$17)^(V$6-$L$14))</f>
        <v>917798.35695718671</v>
      </c>
      <c r="W8" s="740">
        <f>'B.1 - Dev Pro Forma'!U92*$G16*($L$15*(1+$L$17)^(W$6-$L$14))</f>
        <v>940743.31588111632</v>
      </c>
      <c r="X8" s="740">
        <f>'B.1 - Dev Pro Forma'!V92*$G16*($L$15*(1+$L$17)^(X$6-$L$14))</f>
        <v>964261.89877814427</v>
      </c>
      <c r="Y8" s="740">
        <f>'B.1 - Dev Pro Forma'!W92*$G16*($L$15*(1+$L$17)^(Y$6-$L$14))</f>
        <v>988368.44624759769</v>
      </c>
      <c r="Z8" s="740">
        <f>'B.1 - Dev Pro Forma'!X92*$G16*($L$15*(1+$L$17)^(Z$6-$L$14))</f>
        <v>1013077.6574037877</v>
      </c>
      <c r="AA8" s="741">
        <f t="shared" ref="AA8:AA9" si="8">SUM(G8:Z8)</f>
        <v>10943781.163543899</v>
      </c>
      <c r="AB8" s="901">
        <f t="shared" ref="AB8:AB9" si="9">NPV($L$19,G8:Z8)</f>
        <v>6346994.4384237202</v>
      </c>
    </row>
    <row r="9" spans="1:28" s="891" customFormat="1" ht="12.75" customHeight="1" x14ac:dyDescent="0.15">
      <c r="A9" s="1106"/>
      <c r="B9" s="894" t="str">
        <f>'Tax Increment Budget'!B12</f>
        <v>Residential</v>
      </c>
      <c r="C9" s="888"/>
      <c r="D9" s="887" t="s">
        <v>525</v>
      </c>
      <c r="E9" s="887"/>
      <c r="F9" s="450"/>
      <c r="G9" s="740">
        <f>'B.1 - Dev Pro Forma'!E95*$G18*($L$15*(1+$L$17)^(G$6-$L$14))</f>
        <v>426866.4390288479</v>
      </c>
      <c r="H9" s="740">
        <f>'B.1 - Dev Pro Forma'!F95*$G18*($L$15*(1+$L$17)^(H$6-$L$14))</f>
        <v>875076.20000913832</v>
      </c>
      <c r="I9" s="740">
        <f>'B.1 - Dev Pro Forma'!G95*$G18*($L$15*(1+$L$17)^(I$6-$L$14))</f>
        <v>953863.23307017935</v>
      </c>
      <c r="J9" s="740">
        <f>'B.1 - Dev Pro Forma'!H95*$G18*($L$15*(1+$L$17)^(J$6-$L$14))</f>
        <v>1047709.2714117335</v>
      </c>
      <c r="K9" s="740">
        <f>'B.1 - Dev Pro Forma'!I95*$G18*($L$15*(1+$L$17)^(K$6-$L$14))</f>
        <v>1133693.2064909183</v>
      </c>
      <c r="L9" s="740">
        <f>'B.1 - Dev Pro Forma'!J95*$G18*($L$15*(1+$L$17)^(L$6-$L$14))</f>
        <v>1223321.52002943</v>
      </c>
      <c r="M9" s="740">
        <f>'B.1 - Dev Pro Forma'!K95*$G18*($L$15*(1+$L$17)^(M$6-$L$14))</f>
        <v>1253904.5580301655</v>
      </c>
      <c r="N9" s="740">
        <f>'B.1 - Dev Pro Forma'!L95*$G18*($L$15*(1+$L$17)^(N$6-$L$14))</f>
        <v>1285252.1719809193</v>
      </c>
      <c r="O9" s="740">
        <f>'B.1 - Dev Pro Forma'!M95*$G18*($L$15*(1+$L$17)^(O$6-$L$14))</f>
        <v>1317383.4762804424</v>
      </c>
      <c r="P9" s="740">
        <f>'B.1 - Dev Pro Forma'!N95*$G18*($L$15*(1+$L$17)^(P$6-$L$14))</f>
        <v>1350318.0631874534</v>
      </c>
      <c r="Q9" s="740">
        <f>'B.1 - Dev Pro Forma'!O95*$G18*($L$15*(1+$L$17)^(Q$6-$L$14))</f>
        <v>1384076.0147671397</v>
      </c>
      <c r="R9" s="740">
        <f>'B.1 - Dev Pro Forma'!P95*$G18*($L$15*(1+$L$17)^(R$6-$L$14))</f>
        <v>1418677.9151363182</v>
      </c>
      <c r="S9" s="740">
        <f>'B.1 - Dev Pro Forma'!Q95*$G18*($L$15*(1+$L$17)^(S$6-$L$14))</f>
        <v>1454144.863014726</v>
      </c>
      <c r="T9" s="740">
        <f>'B.1 - Dev Pro Forma'!R95*$G18*($L$15*(1+$L$17)^(T$6-$L$14))</f>
        <v>1490498.4845900943</v>
      </c>
      <c r="U9" s="740">
        <f>'B.1 - Dev Pro Forma'!S95*$G18*($L$15*(1+$L$17)^(U$6-$L$14))</f>
        <v>1527760.9467048466</v>
      </c>
      <c r="V9" s="740">
        <f>'B.1 - Dev Pro Forma'!T95*$G18*($L$15*(1+$L$17)^(V$6-$L$14))</f>
        <v>1565954.9703724675</v>
      </c>
      <c r="W9" s="740">
        <f>'B.1 - Dev Pro Forma'!U95*$G18*($L$15*(1+$L$17)^(W$6-$L$14))</f>
        <v>1605103.8446317792</v>
      </c>
      <c r="X9" s="740">
        <f>'B.1 - Dev Pro Forma'!V95*$G18*($L$15*(1+$L$17)^(X$6-$L$14))</f>
        <v>1645231.4407475737</v>
      </c>
      <c r="Y9" s="740">
        <f>'B.1 - Dev Pro Forma'!W95*$G18*($L$15*(1+$L$17)^(Y$6-$L$14))</f>
        <v>1686362.2267662627</v>
      </c>
      <c r="Z9" s="740">
        <f>'B.1 - Dev Pro Forma'!X95*$G18*($L$15*(1+$L$17)^(Z$6-$L$14))</f>
        <v>1728521.2824354193</v>
      </c>
      <c r="AA9" s="741">
        <f t="shared" si="8"/>
        <v>26373720.128685862</v>
      </c>
      <c r="AB9" s="901">
        <f t="shared" si="9"/>
        <v>17020532.98561414</v>
      </c>
    </row>
    <row r="10" spans="1:28" ht="12.75" customHeight="1" x14ac:dyDescent="0.15">
      <c r="A10" s="454"/>
      <c r="B10" s="556" t="s">
        <v>546</v>
      </c>
      <c r="C10" s="445"/>
      <c r="D10" s="455"/>
      <c r="E10" s="446"/>
      <c r="F10" s="446"/>
      <c r="G10" s="743">
        <f>SUM(G7:G9)</f>
        <v>449637.28993619804</v>
      </c>
      <c r="H10" s="743">
        <f t="shared" ref="H10:Z10" si="10">SUM(H7:H9)</f>
        <v>946279.72103065031</v>
      </c>
      <c r="I10" s="743">
        <f t="shared" si="10"/>
        <v>1067612.4564469447</v>
      </c>
      <c r="J10" s="743">
        <f t="shared" si="10"/>
        <v>1221268.2746944723</v>
      </c>
      <c r="K10" s="743">
        <f t="shared" si="10"/>
        <v>1368410.4629876919</v>
      </c>
      <c r="L10" s="743">
        <f t="shared" si="10"/>
        <v>1529316.2941195029</v>
      </c>
      <c r="M10" s="743">
        <f t="shared" si="10"/>
        <v>1639545.3784187098</v>
      </c>
      <c r="N10" s="743">
        <f t="shared" si="10"/>
        <v>1754330.0942490522</v>
      </c>
      <c r="O10" s="743">
        <f t="shared" si="10"/>
        <v>1877297.3388499359</v>
      </c>
      <c r="P10" s="743">
        <f t="shared" si="10"/>
        <v>2013230.6358398367</v>
      </c>
      <c r="Q10" s="743">
        <f t="shared" si="10"/>
        <v>2182766.8640192659</v>
      </c>
      <c r="R10" s="743">
        <f t="shared" si="10"/>
        <v>2337113.6372135296</v>
      </c>
      <c r="S10" s="743">
        <f t="shared" si="10"/>
        <v>2497813.5197774945</v>
      </c>
      <c r="T10" s="743">
        <f t="shared" si="10"/>
        <v>2560258.8577719321</v>
      </c>
      <c r="U10" s="743">
        <f t="shared" si="10"/>
        <v>2624265.3292162302</v>
      </c>
      <c r="V10" s="743">
        <f t="shared" si="10"/>
        <v>2689871.9624466356</v>
      </c>
      <c r="W10" s="743">
        <f t="shared" si="10"/>
        <v>2757118.7615078017</v>
      </c>
      <c r="X10" s="743">
        <f t="shared" si="10"/>
        <v>2826046.7305454966</v>
      </c>
      <c r="Y10" s="743">
        <f t="shared" si="10"/>
        <v>2896697.8988091331</v>
      </c>
      <c r="Z10" s="743">
        <f t="shared" si="10"/>
        <v>2969115.3462793618</v>
      </c>
      <c r="AA10" s="744">
        <f>SUM(G10:Z10)</f>
        <v>40207996.854159884</v>
      </c>
      <c r="AB10" s="821">
        <f>NPV($L$19,H10:Z10)</f>
        <v>25686018.32423659</v>
      </c>
    </row>
    <row r="11" spans="1:28" ht="12.75" customHeight="1" x14ac:dyDescent="0.15">
      <c r="A11" s="577"/>
      <c r="B11" s="555" t="s">
        <v>1390</v>
      </c>
      <c r="C11" s="554"/>
      <c r="D11" s="553"/>
      <c r="E11" s="553"/>
      <c r="F11" s="553"/>
      <c r="G11" s="873">
        <f>G10*$L$18</f>
        <v>0</v>
      </c>
      <c r="H11" s="873">
        <f t="shared" ref="H11:T11" si="11">H10*$L$18</f>
        <v>0</v>
      </c>
      <c r="I11" s="873">
        <f t="shared" si="11"/>
        <v>0</v>
      </c>
      <c r="J11" s="873">
        <f t="shared" si="11"/>
        <v>0</v>
      </c>
      <c r="K11" s="873">
        <f t="shared" si="11"/>
        <v>0</v>
      </c>
      <c r="L11" s="873">
        <f t="shared" si="11"/>
        <v>0</v>
      </c>
      <c r="M11" s="873">
        <f t="shared" si="11"/>
        <v>0</v>
      </c>
      <c r="N11" s="873">
        <f t="shared" si="11"/>
        <v>0</v>
      </c>
      <c r="O11" s="873">
        <f t="shared" si="11"/>
        <v>0</v>
      </c>
      <c r="P11" s="873">
        <f t="shared" si="11"/>
        <v>0</v>
      </c>
      <c r="Q11" s="873">
        <f t="shared" si="11"/>
        <v>0</v>
      </c>
      <c r="R11" s="873">
        <f t="shared" si="11"/>
        <v>0</v>
      </c>
      <c r="S11" s="873">
        <f t="shared" si="11"/>
        <v>0</v>
      </c>
      <c r="T11" s="873">
        <f t="shared" si="11"/>
        <v>0</v>
      </c>
      <c r="U11" s="873">
        <f t="shared" ref="U11:Z11" si="12">U10*$L$18</f>
        <v>0</v>
      </c>
      <c r="V11" s="873">
        <f t="shared" si="12"/>
        <v>0</v>
      </c>
      <c r="W11" s="873">
        <f t="shared" si="12"/>
        <v>0</v>
      </c>
      <c r="X11" s="873">
        <f t="shared" si="12"/>
        <v>0</v>
      </c>
      <c r="Y11" s="873">
        <f t="shared" si="12"/>
        <v>0</v>
      </c>
      <c r="Z11" s="873">
        <f t="shared" si="12"/>
        <v>0</v>
      </c>
      <c r="AA11" s="746">
        <f>SUM(G11:Z11)</f>
        <v>0</v>
      </c>
      <c r="AB11" s="902">
        <f>NPV($L$19,G11:Z11)</f>
        <v>0</v>
      </c>
    </row>
    <row r="12" spans="1:28" ht="14" thickBot="1" x14ac:dyDescent="0.2">
      <c r="A12" s="558"/>
      <c r="B12" s="559" t="s">
        <v>1234</v>
      </c>
      <c r="C12" s="560"/>
      <c r="D12" s="561"/>
      <c r="E12" s="561"/>
      <c r="F12" s="875"/>
      <c r="G12" s="874">
        <f t="shared" ref="G12:T12" si="13">SUM(G11:G11)</f>
        <v>0</v>
      </c>
      <c r="H12" s="874">
        <f t="shared" si="13"/>
        <v>0</v>
      </c>
      <c r="I12" s="874">
        <f t="shared" si="13"/>
        <v>0</v>
      </c>
      <c r="J12" s="874">
        <f t="shared" si="13"/>
        <v>0</v>
      </c>
      <c r="K12" s="874">
        <f t="shared" si="13"/>
        <v>0</v>
      </c>
      <c r="L12" s="874">
        <f t="shared" si="13"/>
        <v>0</v>
      </c>
      <c r="M12" s="874">
        <f t="shared" si="13"/>
        <v>0</v>
      </c>
      <c r="N12" s="874">
        <f t="shared" si="13"/>
        <v>0</v>
      </c>
      <c r="O12" s="874">
        <f t="shared" si="13"/>
        <v>0</v>
      </c>
      <c r="P12" s="874">
        <f t="shared" si="13"/>
        <v>0</v>
      </c>
      <c r="Q12" s="747">
        <f t="shared" si="13"/>
        <v>0</v>
      </c>
      <c r="R12" s="874">
        <f t="shared" si="13"/>
        <v>0</v>
      </c>
      <c r="S12" s="874">
        <f t="shared" si="13"/>
        <v>0</v>
      </c>
      <c r="T12" s="874">
        <f t="shared" si="13"/>
        <v>0</v>
      </c>
      <c r="U12" s="874">
        <f t="shared" ref="U12:Z12" si="14">SUM(U11:U11)</f>
        <v>0</v>
      </c>
      <c r="V12" s="874">
        <f t="shared" si="14"/>
        <v>0</v>
      </c>
      <c r="W12" s="874">
        <f t="shared" si="14"/>
        <v>0</v>
      </c>
      <c r="X12" s="874">
        <f t="shared" si="14"/>
        <v>0</v>
      </c>
      <c r="Y12" s="874">
        <f t="shared" si="14"/>
        <v>0</v>
      </c>
      <c r="Z12" s="874">
        <f t="shared" si="14"/>
        <v>0</v>
      </c>
      <c r="AA12" s="748">
        <f>SUM(G12:Z12)</f>
        <v>0</v>
      </c>
      <c r="AB12" s="903">
        <f>NPV($L$19,G12:Z12)</f>
        <v>0</v>
      </c>
    </row>
    <row r="13" spans="1:28" ht="15" thickBot="1" x14ac:dyDescent="0.2">
      <c r="B13" s="241"/>
      <c r="C13" s="241"/>
      <c r="D13" s="241"/>
      <c r="E13" s="241"/>
      <c r="F13" s="241"/>
      <c r="G13" s="241"/>
      <c r="H13" s="6"/>
      <c r="I13" s="265"/>
      <c r="J13" s="453"/>
      <c r="K13" s="453"/>
      <c r="L13" s="449"/>
      <c r="M13" s="17"/>
      <c r="N13" s="17"/>
      <c r="O13" s="17"/>
      <c r="P13" s="17"/>
      <c r="Q13" s="17"/>
      <c r="R13" s="17"/>
      <c r="S13" s="17"/>
      <c r="T13" s="17"/>
      <c r="U13" s="889"/>
      <c r="V13" s="889"/>
      <c r="W13" s="889"/>
      <c r="X13" s="889"/>
      <c r="Y13" s="889"/>
      <c r="Z13" s="889"/>
    </row>
    <row r="14" spans="1:28" ht="15" thickBot="1" x14ac:dyDescent="0.2">
      <c r="B14" s="241"/>
      <c r="C14" s="241"/>
      <c r="D14" s="241"/>
      <c r="E14" s="241"/>
      <c r="F14" s="1319" t="s">
        <v>1325</v>
      </c>
      <c r="G14" s="1320"/>
      <c r="H14" s="8"/>
      <c r="I14" s="1317" t="s">
        <v>63</v>
      </c>
      <c r="J14" s="1318"/>
      <c r="K14" s="1318"/>
      <c r="L14" s="242">
        <v>2018</v>
      </c>
      <c r="M14" s="17"/>
      <c r="P14" s="17"/>
      <c r="Q14" s="17"/>
      <c r="R14" s="17"/>
      <c r="S14" s="17"/>
      <c r="T14" s="17"/>
      <c r="U14" s="889"/>
      <c r="V14" s="889"/>
      <c r="W14" s="889"/>
      <c r="X14" s="889"/>
      <c r="Y14" s="889"/>
      <c r="Z14" s="889"/>
    </row>
    <row r="15" spans="1:28" ht="19" thickBot="1" x14ac:dyDescent="0.25">
      <c r="B15" s="243" t="s">
        <v>1471</v>
      </c>
      <c r="C15" s="244"/>
      <c r="D15" s="877">
        <f>AA11</f>
        <v>0</v>
      </c>
      <c r="E15" s="2"/>
      <c r="F15" s="15" t="s">
        <v>34</v>
      </c>
      <c r="G15" s="413">
        <f>Electricity!J30</f>
        <v>14.361825341672457</v>
      </c>
      <c r="H15" s="17"/>
      <c r="I15" s="315" t="s">
        <v>1350</v>
      </c>
      <c r="J15" s="316"/>
      <c r="K15" s="317"/>
      <c r="L15" s="408">
        <v>7.4999999999999997E-2</v>
      </c>
      <c r="M15" s="552"/>
      <c r="P15" s="17"/>
      <c r="Q15" s="17"/>
      <c r="R15" s="17"/>
      <c r="S15" s="17"/>
      <c r="T15" s="17"/>
      <c r="U15" s="889"/>
      <c r="V15" s="889"/>
      <c r="W15" s="889"/>
      <c r="X15" s="889"/>
      <c r="Y15" s="889"/>
      <c r="Z15" s="889"/>
      <c r="AA15" s="17"/>
    </row>
    <row r="16" spans="1:28" ht="18" x14ac:dyDescent="0.2">
      <c r="B16" s="250"/>
      <c r="C16" s="251"/>
      <c r="D16" s="252"/>
      <c r="E16" s="2"/>
      <c r="F16" s="15" t="s">
        <v>1324</v>
      </c>
      <c r="G16" s="413">
        <f>Electricity!J31</f>
        <v>17.283748361730012</v>
      </c>
      <c r="H16" s="17"/>
      <c r="I16" s="342" t="s">
        <v>1351</v>
      </c>
      <c r="J16" s="343"/>
      <c r="K16" s="254"/>
      <c r="L16" s="409">
        <v>0.08</v>
      </c>
      <c r="M16" s="17"/>
      <c r="P16" s="17"/>
      <c r="Q16" s="17"/>
      <c r="R16" s="17"/>
      <c r="S16" s="17"/>
      <c r="T16" s="17"/>
      <c r="U16" s="889"/>
      <c r="V16" s="889"/>
      <c r="W16" s="889"/>
      <c r="X16" s="889"/>
      <c r="Y16" s="889"/>
      <c r="Z16" s="889"/>
      <c r="AA16" s="17"/>
    </row>
    <row r="17" spans="1:28" x14ac:dyDescent="0.15">
      <c r="F17" s="15" t="s">
        <v>1360</v>
      </c>
      <c r="G17" s="413">
        <f>Electricity!J36</f>
        <v>7.6392572944297079</v>
      </c>
      <c r="H17" s="17"/>
      <c r="I17" s="335" t="s">
        <v>580</v>
      </c>
      <c r="J17" s="254"/>
      <c r="K17" s="254"/>
      <c r="L17" s="336">
        <v>2.5000000000000001E-2</v>
      </c>
      <c r="M17" s="17"/>
      <c r="P17" s="17"/>
      <c r="Q17" s="17"/>
      <c r="R17" s="17"/>
      <c r="S17" s="17"/>
      <c r="T17" s="17"/>
      <c r="U17" s="889"/>
      <c r="V17" s="889"/>
      <c r="W17" s="889"/>
      <c r="X17" s="889"/>
      <c r="Y17" s="889"/>
      <c r="Z17" s="889"/>
      <c r="AA17" s="17"/>
    </row>
    <row r="18" spans="1:28" ht="14" thickBot="1" x14ac:dyDescent="0.2">
      <c r="F18" s="273" t="s">
        <v>26</v>
      </c>
      <c r="G18" s="414">
        <f>Electricity!Z27</f>
        <v>13.478000000000002</v>
      </c>
      <c r="H18" s="17"/>
      <c r="I18" s="335" t="s">
        <v>75</v>
      </c>
      <c r="J18" s="254"/>
      <c r="K18" s="254"/>
      <c r="L18" s="337">
        <v>0</v>
      </c>
      <c r="M18" s="17"/>
      <c r="N18" s="17"/>
      <c r="O18" s="17"/>
      <c r="P18" s="17"/>
      <c r="Q18" s="17"/>
      <c r="R18" s="17"/>
      <c r="S18" s="17"/>
      <c r="T18" s="17"/>
      <c r="U18" s="889"/>
      <c r="V18" s="889"/>
      <c r="W18" s="889"/>
      <c r="X18" s="889"/>
      <c r="Y18" s="889"/>
      <c r="Z18" s="889"/>
      <c r="AA18" s="17"/>
    </row>
    <row r="19" spans="1:28" x14ac:dyDescent="0.15">
      <c r="H19" s="245"/>
      <c r="I19" s="322" t="s">
        <v>14</v>
      </c>
      <c r="J19" s="323"/>
      <c r="K19" s="324"/>
      <c r="L19" s="325">
        <v>0.04</v>
      </c>
      <c r="M19" s="245"/>
      <c r="N19" s="245"/>
    </row>
    <row r="20" spans="1:28" ht="14" thickBot="1" x14ac:dyDescent="0.2"/>
    <row r="21" spans="1:28" ht="30" x14ac:dyDescent="0.2">
      <c r="A21" s="557"/>
      <c r="B21" s="437" t="s">
        <v>1229</v>
      </c>
      <c r="C21" s="438"/>
      <c r="D21" s="439" t="s">
        <v>524</v>
      </c>
      <c r="E21" s="451" t="s">
        <v>1230</v>
      </c>
      <c r="F21" s="451"/>
      <c r="G21" s="440">
        <v>2020</v>
      </c>
      <c r="H21" s="440">
        <f t="shared" ref="H21:Z21" si="15">H6</f>
        <v>2021</v>
      </c>
      <c r="I21" s="440">
        <f t="shared" si="15"/>
        <v>2022</v>
      </c>
      <c r="J21" s="440">
        <f t="shared" si="15"/>
        <v>2023</v>
      </c>
      <c r="K21" s="440">
        <f t="shared" si="15"/>
        <v>2024</v>
      </c>
      <c r="L21" s="440">
        <f t="shared" si="15"/>
        <v>2025</v>
      </c>
      <c r="M21" s="440">
        <f t="shared" si="15"/>
        <v>2026</v>
      </c>
      <c r="N21" s="440">
        <f t="shared" si="15"/>
        <v>2027</v>
      </c>
      <c r="O21" s="440">
        <f t="shared" si="15"/>
        <v>2028</v>
      </c>
      <c r="P21" s="440">
        <f t="shared" si="15"/>
        <v>2029</v>
      </c>
      <c r="Q21" s="440">
        <f t="shared" si="15"/>
        <v>2030</v>
      </c>
      <c r="R21" s="440">
        <f t="shared" si="15"/>
        <v>2031</v>
      </c>
      <c r="S21" s="440">
        <f t="shared" si="15"/>
        <v>2032</v>
      </c>
      <c r="T21" s="440">
        <f t="shared" si="15"/>
        <v>2033</v>
      </c>
      <c r="U21" s="440">
        <f t="shared" si="15"/>
        <v>2034</v>
      </c>
      <c r="V21" s="440">
        <f t="shared" si="15"/>
        <v>2035</v>
      </c>
      <c r="W21" s="440">
        <f t="shared" si="15"/>
        <v>2036</v>
      </c>
      <c r="X21" s="440">
        <f t="shared" si="15"/>
        <v>2037</v>
      </c>
      <c r="Y21" s="440">
        <f t="shared" si="15"/>
        <v>2038</v>
      </c>
      <c r="Z21" s="440">
        <f t="shared" si="15"/>
        <v>2039</v>
      </c>
      <c r="AA21" s="440" t="s">
        <v>13</v>
      </c>
      <c r="AB21" s="440" t="s">
        <v>1388</v>
      </c>
    </row>
    <row r="22" spans="1:28" s="891" customFormat="1" x14ac:dyDescent="0.15">
      <c r="A22" s="899"/>
      <c r="B22" s="894" t="str">
        <f>B7</f>
        <v xml:space="preserve">Commercial </v>
      </c>
      <c r="C22" s="888"/>
      <c r="D22" s="887" t="s">
        <v>526</v>
      </c>
      <c r="E22" s="896">
        <f>NGComm!J29</f>
        <v>3.1751570132588974E-2</v>
      </c>
      <c r="F22" s="450"/>
      <c r="G22" s="740">
        <f>'B.1 - Dev Pro Forma'!E91*$E22*($L$30*(1+$L$32)^(G$6-$L$29))</f>
        <v>4967.1271977247789</v>
      </c>
      <c r="H22" s="740">
        <f>'B.1 - Dev Pro Forma'!F91*$E22*($L$30*(1+$L$32)^(H$6-$L$29))</f>
        <v>9864.4041692315532</v>
      </c>
      <c r="I22" s="740">
        <f>'B.1 - Dev Pro Forma'!G91*$E22*($L$30*(1+$L$32)^(I$6-$L$29))</f>
        <v>11741.82302724659</v>
      </c>
      <c r="J22" s="740">
        <f>'B.1 - Dev Pro Forma'!H91*$E22*($L$30*(1+$L$32)^(J$6-$L$29))</f>
        <v>14041.263370082377</v>
      </c>
      <c r="K22" s="740">
        <f>'B.1 - Dev Pro Forma'!I91*$E22*($L$30*(1+$L$32)^(K$6-$L$29))</f>
        <v>16105.663401279013</v>
      </c>
      <c r="L22" s="740">
        <f>'B.1 - Dev Pro Forma'!J91*$E22*($L$30*(1+$L$32)^(L$6-$L$29))</f>
        <v>18264.507644429177</v>
      </c>
      <c r="M22" s="740">
        <f>'B.1 - Dev Pro Forma'!K91*$E22*($L$30*(1+$L$32)^(M$6-$L$29))</f>
        <v>21601.292694853739</v>
      </c>
      <c r="N22" s="740">
        <f>'B.1 - Dev Pro Forma'!L91*$E22*($L$30*(1+$L$32)^(N$6-$L$29))</f>
        <v>25093.501680521756</v>
      </c>
      <c r="O22" s="740">
        <f>'B.1 - Dev Pro Forma'!M91*$E22*($L$30*(1+$L$32)^(O$6-$L$29))</f>
        <v>29503.315578789923</v>
      </c>
      <c r="P22" s="740">
        <f>'B.1 - Dev Pro Forma'!N91*$E22*($L$30*(1+$L$32)^(P$6-$L$29))</f>
        <v>34117.936733421171</v>
      </c>
      <c r="Q22" s="740">
        <f>'B.1 - Dev Pro Forma'!O91*$E22*($L$30*(1+$L$32)^(Q$6-$L$29))</f>
        <v>39739.642217905333</v>
      </c>
      <c r="R22" s="740">
        <f>'B.1 - Dev Pro Forma'!P91*$E22*($L$30*(1+$L$32)^(R$6-$L$29))</f>
        <v>40733.133273352956</v>
      </c>
      <c r="S22" s="740">
        <f>'B.1 - Dev Pro Forma'!Q91*$E22*($L$30*(1+$L$32)^(S$6-$L$29))</f>
        <v>41751.461605186778</v>
      </c>
      <c r="T22" s="740">
        <f>'B.1 - Dev Pro Forma'!R91*$E22*($L$30*(1+$L$32)^(T$6-$L$29))</f>
        <v>42795.248145316458</v>
      </c>
      <c r="U22" s="740">
        <f>'B.1 - Dev Pro Forma'!S91*$E22*($L$30*(1+$L$32)^(U$6-$L$29))</f>
        <v>43865.129348949362</v>
      </c>
      <c r="V22" s="740">
        <f>'B.1 - Dev Pro Forma'!T91*$E22*($L$30*(1+$L$32)^(V$6-$L$29))</f>
        <v>44961.75758267309</v>
      </c>
      <c r="W22" s="740">
        <f>'B.1 - Dev Pro Forma'!U91*$E22*($L$30*(1+$L$32)^(W$6-$L$29))</f>
        <v>46085.801522239926</v>
      </c>
      <c r="X22" s="740">
        <f>'B.1 - Dev Pro Forma'!V91*$E22*($L$30*(1+$L$32)^(X$6-$L$29))</f>
        <v>47237.946560295917</v>
      </c>
      <c r="Y22" s="740">
        <f>'B.1 - Dev Pro Forma'!W91*$E22*($L$30*(1+$L$32)^(Y$6-$L$29))</f>
        <v>48418.895224303313</v>
      </c>
      <c r="Z22" s="740">
        <f>'B.1 - Dev Pro Forma'!X91*$E22*($L$30*(1+$L$32)^(Z$6-$L$29))</f>
        <v>49629.367604910891</v>
      </c>
      <c r="AA22" s="741">
        <f t="shared" ref="AA22:AA27" si="16">SUM(G22:Z22)</f>
        <v>630519.21858271409</v>
      </c>
      <c r="AB22" s="742">
        <f>NPV($L$19,H22:Z22)</f>
        <v>394968.10651844536</v>
      </c>
    </row>
    <row r="23" spans="1:28" s="891" customFormat="1" x14ac:dyDescent="0.15">
      <c r="A23" s="1106"/>
      <c r="B23" s="894" t="str">
        <f>B8</f>
        <v>Office</v>
      </c>
      <c r="C23" s="888"/>
      <c r="D23" s="887" t="s">
        <v>526</v>
      </c>
      <c r="E23" s="896">
        <f>NGComm!J30</f>
        <v>3.2772904483430801E-2</v>
      </c>
      <c r="F23" s="450"/>
      <c r="G23" s="740">
        <f>'B.1 - Dev Pro Forma'!E92*$E23*($L$30*(1+$L$32)^(G$6-$L$29))</f>
        <v>0</v>
      </c>
      <c r="H23" s="740">
        <f>'B.1 - Dev Pro Forma'!F92*$E23*($L$30*(1+$L$32)^(H$6-$L$29))</f>
        <v>4860.9438629620035</v>
      </c>
      <c r="I23" s="740">
        <f>'B.1 - Dev Pro Forma'!G92*$E23*($L$30*(1+$L$32)^(I$6-$L$29))</f>
        <v>11210.55178395612</v>
      </c>
      <c r="J23" s="740">
        <f>'B.1 - Dev Pro Forma'!H92*$E23*($L$30*(1+$L$32)^(J$6-$L$29))</f>
        <v>20428.116584097817</v>
      </c>
      <c r="K23" s="740">
        <f>'B.1 - Dev Pro Forma'!I92*$E23*($L$30*(1+$L$32)^(K$6-$L$29))</f>
        <v>30099.553029381626</v>
      </c>
      <c r="L23" s="740">
        <f>'B.1 - Dev Pro Forma'!J92*$E23*($L$30*(1+$L$32)^(L$6-$L$29))</f>
        <v>41583.186848200057</v>
      </c>
      <c r="M23" s="740">
        <f>'B.1 - Dev Pro Forma'!K92*$E23*($L$30*(1+$L$32)^(M$6-$L$29))</f>
        <v>53622.190137316029</v>
      </c>
      <c r="N23" s="740">
        <f>'B.1 - Dev Pro Forma'!L92*$E23*($L$30*(1+$L$32)^(N$6-$L$29))</f>
        <v>66237.154099107676</v>
      </c>
      <c r="O23" s="740">
        <f>'B.1 - Dev Pro Forma'!M92*$E23*($L$30*(1+$L$32)^(O$6-$L$29))</f>
        <v>79449.352390153101</v>
      </c>
      <c r="P23" s="740">
        <f>'B.1 - Dev Pro Forma'!N92*$E23*($L$30*(1+$L$32)^(P$6-$L$29))</f>
        <v>94761.409396255316</v>
      </c>
      <c r="Q23" s="740">
        <f>'B.1 - Dev Pro Forma'!O92*$E23*($L$30*(1+$L$32)^(Q$6-$L$29))</f>
        <v>115342.40299950453</v>
      </c>
      <c r="R23" s="740">
        <f>'B.1 - Dev Pro Forma'!P92*$E23*($L$30*(1+$L$32)^(R$6-$L$29))</f>
        <v>136893.22040204352</v>
      </c>
      <c r="S23" s="740">
        <f>'B.1 - Dev Pro Forma'!Q92*$E23*($L$30*(1+$L$32)^(S$6-$L$29))</f>
        <v>159449.48967283475</v>
      </c>
      <c r="T23" s="740">
        <f>'B.1 - Dev Pro Forma'!R92*$E23*($L$30*(1+$L$32)^(T$6-$L$29))</f>
        <v>163435.72691465565</v>
      </c>
      <c r="U23" s="740">
        <f>'B.1 - Dev Pro Forma'!S92*$E23*($L$30*(1+$L$32)^(U$6-$L$29))</f>
        <v>167521.62008752202</v>
      </c>
      <c r="V23" s="740">
        <f>'B.1 - Dev Pro Forma'!T92*$E23*($L$30*(1+$L$32)^(V$6-$L$29))</f>
        <v>171709.66058971005</v>
      </c>
      <c r="W23" s="740">
        <f>'B.1 - Dev Pro Forma'!U92*$E23*($L$30*(1+$L$32)^(W$6-$L$29))</f>
        <v>176002.40210445283</v>
      </c>
      <c r="X23" s="740">
        <f>'B.1 - Dev Pro Forma'!V92*$E23*($L$30*(1+$L$32)^(X$6-$L$29))</f>
        <v>180402.46215706412</v>
      </c>
      <c r="Y23" s="740">
        <f>'B.1 - Dev Pro Forma'!W92*$E23*($L$30*(1+$L$32)^(Y$6-$L$29))</f>
        <v>184912.5237109907</v>
      </c>
      <c r="Z23" s="740">
        <f>'B.1 - Dev Pro Forma'!X92*$E23*($L$30*(1+$L$32)^(Z$6-$L$29))</f>
        <v>189535.33680376547</v>
      </c>
      <c r="AA23" s="741">
        <f t="shared" ref="AA23:AA24" si="17">SUM(G23:Z23)</f>
        <v>2047457.3035739735</v>
      </c>
      <c r="AB23" s="742">
        <f t="shared" ref="AB23:AB24" si="18">NPV($L$19,H23:Z23)</f>
        <v>1234948.6819476264</v>
      </c>
    </row>
    <row r="24" spans="1:28" s="891" customFormat="1" x14ac:dyDescent="0.15">
      <c r="A24" s="1106"/>
      <c r="B24" s="894" t="str">
        <f>B9</f>
        <v>Residential</v>
      </c>
      <c r="C24" s="888"/>
      <c r="D24" s="887" t="s">
        <v>526</v>
      </c>
      <c r="E24" s="896">
        <f>NGComm!J28</f>
        <v>5.0516917293233085E-2</v>
      </c>
      <c r="F24" s="450"/>
      <c r="G24" s="740">
        <f>'B.1 - Dev Pro Forma'!E95*$E24*($L$30*(1+$L$32)^(G$6-$L$29))</f>
        <v>157860.6388762047</v>
      </c>
      <c r="H24" s="740">
        <f>'B.1 - Dev Pro Forma'!F95*$E24*($L$30*(1+$L$32)^(H$6-$L$29))</f>
        <v>323614.30969621963</v>
      </c>
      <c r="I24" s="740">
        <f>'B.1 - Dev Pro Forma'!G95*$E24*($L$30*(1+$L$32)^(I$6-$L$29))</f>
        <v>352750.75668997382</v>
      </c>
      <c r="J24" s="740">
        <f>'B.1 - Dev Pro Forma'!H95*$E24*($L$30*(1+$L$32)^(J$6-$L$29))</f>
        <v>387456.21538638201</v>
      </c>
      <c r="K24" s="740">
        <f>'B.1 - Dev Pro Forma'!I95*$E24*($L$30*(1+$L$32)^(K$6-$L$29))</f>
        <v>419254.16829073976</v>
      </c>
      <c r="L24" s="740">
        <f>'B.1 - Dev Pro Forma'!J95*$E24*($L$30*(1+$L$32)^(L$6-$L$29))</f>
        <v>452399.85870569898</v>
      </c>
      <c r="M24" s="740">
        <f>'B.1 - Dev Pro Forma'!K95*$E24*($L$30*(1+$L$32)^(M$6-$L$29))</f>
        <v>463709.85517334135</v>
      </c>
      <c r="N24" s="740">
        <f>'B.1 - Dev Pro Forma'!L95*$E24*($L$30*(1+$L$32)^(N$6-$L$29))</f>
        <v>475302.60155267478</v>
      </c>
      <c r="O24" s="740">
        <f>'B.1 - Dev Pro Forma'!M95*$E24*($L$30*(1+$L$32)^(O$6-$L$29))</f>
        <v>487185.16659149172</v>
      </c>
      <c r="P24" s="740">
        <f>'B.1 - Dev Pro Forma'!N95*$E24*($L$30*(1+$L$32)^(P$6-$L$29))</f>
        <v>499364.79575627903</v>
      </c>
      <c r="Q24" s="740">
        <f>'B.1 - Dev Pro Forma'!O95*$E24*($L$30*(1+$L$32)^(Q$6-$L$29))</f>
        <v>511848.91565018595</v>
      </c>
      <c r="R24" s="740">
        <f>'B.1 - Dev Pro Forma'!P95*$E24*($L$30*(1+$L$32)^(R$6-$L$29))</f>
        <v>524645.1385414406</v>
      </c>
      <c r="S24" s="740">
        <f>'B.1 - Dev Pro Forma'!Q95*$E24*($L$30*(1+$L$32)^(S$6-$L$29))</f>
        <v>537761.26700497651</v>
      </c>
      <c r="T24" s="740">
        <f>'B.1 - Dev Pro Forma'!R95*$E24*($L$30*(1+$L$32)^(T$6-$L$29))</f>
        <v>551205.29868010106</v>
      </c>
      <c r="U24" s="740">
        <f>'B.1 - Dev Pro Forma'!S95*$E24*($L$30*(1+$L$32)^(U$6-$L$29))</f>
        <v>564985.43114710343</v>
      </c>
      <c r="V24" s="740">
        <f>'B.1 - Dev Pro Forma'!T95*$E24*($L$30*(1+$L$32)^(V$6-$L$29))</f>
        <v>579110.06692578096</v>
      </c>
      <c r="W24" s="740">
        <f>'B.1 - Dev Pro Forma'!U95*$E24*($L$30*(1+$L$32)^(W$6-$L$29))</f>
        <v>593587.8185989256</v>
      </c>
      <c r="X24" s="740">
        <f>'B.1 - Dev Pro Forma'!V95*$E24*($L$30*(1+$L$32)^(X$6-$L$29))</f>
        <v>608427.51406389871</v>
      </c>
      <c r="Y24" s="740">
        <f>'B.1 - Dev Pro Forma'!W95*$E24*($L$30*(1+$L$32)^(Y$6-$L$29))</f>
        <v>623638.20191549615</v>
      </c>
      <c r="Z24" s="740">
        <f>'B.1 - Dev Pro Forma'!X95*$E24*($L$30*(1+$L$32)^(Z$6-$L$29))</f>
        <v>639229.15696338343</v>
      </c>
      <c r="AA24" s="741">
        <f t="shared" si="17"/>
        <v>9753337.1762102973</v>
      </c>
      <c r="AB24" s="742">
        <f t="shared" si="18"/>
        <v>6388325.3436170751</v>
      </c>
    </row>
    <row r="25" spans="1:28" x14ac:dyDescent="0.15">
      <c r="A25" s="454"/>
      <c r="B25" s="556" t="s">
        <v>13</v>
      </c>
      <c r="C25" s="445"/>
      <c r="D25" s="455"/>
      <c r="E25" s="446"/>
      <c r="F25" s="446"/>
      <c r="G25" s="743">
        <f>SUM(G22:G24)</f>
        <v>162827.76607392947</v>
      </c>
      <c r="H25" s="743">
        <f t="shared" ref="H25:Z25" si="19">SUM(H22:H24)</f>
        <v>338339.65772841318</v>
      </c>
      <c r="I25" s="743">
        <f t="shared" si="19"/>
        <v>375703.13150117651</v>
      </c>
      <c r="J25" s="743">
        <f t="shared" si="19"/>
        <v>421925.59534056223</v>
      </c>
      <c r="K25" s="743">
        <f t="shared" si="19"/>
        <v>465459.38472140039</v>
      </c>
      <c r="L25" s="743">
        <f t="shared" si="19"/>
        <v>512247.55319832824</v>
      </c>
      <c r="M25" s="743">
        <f t="shared" si="19"/>
        <v>538933.33800551109</v>
      </c>
      <c r="N25" s="743">
        <f t="shared" si="19"/>
        <v>566633.25733230426</v>
      </c>
      <c r="O25" s="743">
        <f t="shared" si="19"/>
        <v>596137.8345604348</v>
      </c>
      <c r="P25" s="743">
        <f t="shared" si="19"/>
        <v>628244.14188595547</v>
      </c>
      <c r="Q25" s="743">
        <f t="shared" si="19"/>
        <v>666930.96086759586</v>
      </c>
      <c r="R25" s="743">
        <f t="shared" si="19"/>
        <v>702271.49221683713</v>
      </c>
      <c r="S25" s="743">
        <f t="shared" si="19"/>
        <v>738962.21828299807</v>
      </c>
      <c r="T25" s="743">
        <f t="shared" si="19"/>
        <v>757436.2737400732</v>
      </c>
      <c r="U25" s="743">
        <f t="shared" si="19"/>
        <v>776372.18058357481</v>
      </c>
      <c r="V25" s="743">
        <f t="shared" si="19"/>
        <v>795781.48509816406</v>
      </c>
      <c r="W25" s="743">
        <f t="shared" si="19"/>
        <v>815676.02222561836</v>
      </c>
      <c r="X25" s="743">
        <f t="shared" si="19"/>
        <v>836067.92278125871</v>
      </c>
      <c r="Y25" s="743">
        <f t="shared" si="19"/>
        <v>856969.62085079018</v>
      </c>
      <c r="Z25" s="743">
        <f t="shared" si="19"/>
        <v>878393.86137205979</v>
      </c>
      <c r="AA25" s="744">
        <f t="shared" si="16"/>
        <v>12431313.698366985</v>
      </c>
      <c r="AB25" s="821">
        <f>NPV($L$19,F25:Z25)</f>
        <v>7866413.3636125727</v>
      </c>
    </row>
    <row r="26" spans="1:28" ht="12.75" customHeight="1" x14ac:dyDescent="0.15">
      <c r="A26" s="577"/>
      <c r="B26" s="555" t="str">
        <f>B11</f>
        <v>Commercial Tax Revenue</v>
      </c>
      <c r="C26" s="554"/>
      <c r="D26" s="553"/>
      <c r="E26" s="553"/>
      <c r="F26" s="553"/>
      <c r="G26" s="745">
        <f t="shared" ref="G26:T26" si="20">G25*$L$33</f>
        <v>0</v>
      </c>
      <c r="H26" s="745">
        <f t="shared" si="20"/>
        <v>0</v>
      </c>
      <c r="I26" s="745">
        <f t="shared" si="20"/>
        <v>0</v>
      </c>
      <c r="J26" s="745">
        <f t="shared" si="20"/>
        <v>0</v>
      </c>
      <c r="K26" s="745">
        <f t="shared" si="20"/>
        <v>0</v>
      </c>
      <c r="L26" s="745">
        <f t="shared" si="20"/>
        <v>0</v>
      </c>
      <c r="M26" s="745">
        <f t="shared" si="20"/>
        <v>0</v>
      </c>
      <c r="N26" s="745">
        <f t="shared" si="20"/>
        <v>0</v>
      </c>
      <c r="O26" s="745">
        <f t="shared" si="20"/>
        <v>0</v>
      </c>
      <c r="P26" s="745">
        <f t="shared" si="20"/>
        <v>0</v>
      </c>
      <c r="Q26" s="745">
        <f t="shared" si="20"/>
        <v>0</v>
      </c>
      <c r="R26" s="745">
        <f t="shared" si="20"/>
        <v>0</v>
      </c>
      <c r="S26" s="745">
        <f t="shared" si="20"/>
        <v>0</v>
      </c>
      <c r="T26" s="745">
        <f t="shared" si="20"/>
        <v>0</v>
      </c>
      <c r="U26" s="745">
        <f t="shared" ref="U26:Z26" si="21">U25*$L$33</f>
        <v>0</v>
      </c>
      <c r="V26" s="745">
        <f t="shared" si="21"/>
        <v>0</v>
      </c>
      <c r="W26" s="745">
        <f t="shared" si="21"/>
        <v>0</v>
      </c>
      <c r="X26" s="745">
        <f t="shared" si="21"/>
        <v>0</v>
      </c>
      <c r="Y26" s="745">
        <f t="shared" si="21"/>
        <v>0</v>
      </c>
      <c r="Z26" s="745">
        <f t="shared" si="21"/>
        <v>0</v>
      </c>
      <c r="AA26" s="746">
        <f t="shared" si="16"/>
        <v>0</v>
      </c>
      <c r="AB26" s="902">
        <f>NPV($L$19,G26:Z26)</f>
        <v>0</v>
      </c>
    </row>
    <row r="27" spans="1:28" ht="14" thickBot="1" x14ac:dyDescent="0.2">
      <c r="A27" s="558"/>
      <c r="B27" s="559" t="s">
        <v>1234</v>
      </c>
      <c r="C27" s="560"/>
      <c r="D27" s="561"/>
      <c r="E27" s="561"/>
      <c r="F27" s="876"/>
      <c r="G27" s="874">
        <f t="shared" ref="G27:T27" si="22">SUM(G26:G26)</f>
        <v>0</v>
      </c>
      <c r="H27" s="874">
        <f t="shared" si="22"/>
        <v>0</v>
      </c>
      <c r="I27" s="874">
        <f t="shared" si="22"/>
        <v>0</v>
      </c>
      <c r="J27" s="874">
        <f t="shared" si="22"/>
        <v>0</v>
      </c>
      <c r="K27" s="874">
        <f t="shared" si="22"/>
        <v>0</v>
      </c>
      <c r="L27" s="874">
        <f t="shared" si="22"/>
        <v>0</v>
      </c>
      <c r="M27" s="874">
        <f t="shared" si="22"/>
        <v>0</v>
      </c>
      <c r="N27" s="874">
        <f t="shared" si="22"/>
        <v>0</v>
      </c>
      <c r="O27" s="874">
        <f t="shared" si="22"/>
        <v>0</v>
      </c>
      <c r="P27" s="874">
        <f t="shared" si="22"/>
        <v>0</v>
      </c>
      <c r="Q27" s="874">
        <f t="shared" si="22"/>
        <v>0</v>
      </c>
      <c r="R27" s="874">
        <f t="shared" si="22"/>
        <v>0</v>
      </c>
      <c r="S27" s="874">
        <f t="shared" si="22"/>
        <v>0</v>
      </c>
      <c r="T27" s="874">
        <f t="shared" si="22"/>
        <v>0</v>
      </c>
      <c r="U27" s="874">
        <f t="shared" ref="U27:Z27" si="23">SUM(U26:U26)</f>
        <v>0</v>
      </c>
      <c r="V27" s="874">
        <f t="shared" si="23"/>
        <v>0</v>
      </c>
      <c r="W27" s="874">
        <f t="shared" si="23"/>
        <v>0</v>
      </c>
      <c r="X27" s="874">
        <f t="shared" si="23"/>
        <v>0</v>
      </c>
      <c r="Y27" s="874">
        <f t="shared" si="23"/>
        <v>0</v>
      </c>
      <c r="Z27" s="874">
        <f t="shared" si="23"/>
        <v>0</v>
      </c>
      <c r="AA27" s="748">
        <f t="shared" si="16"/>
        <v>0</v>
      </c>
      <c r="AB27" s="903">
        <f>NPV($L$19,G27:Z27)</f>
        <v>0</v>
      </c>
    </row>
    <row r="28" spans="1:28" ht="14" thickBot="1" x14ac:dyDescent="0.2">
      <c r="B28" s="241"/>
      <c r="C28" s="241"/>
      <c r="D28" s="241"/>
      <c r="E28" s="241"/>
      <c r="F28" s="241"/>
      <c r="G28" s="241"/>
      <c r="H28" s="456"/>
      <c r="M28" s="17"/>
      <c r="N28" s="17"/>
      <c r="O28" s="17"/>
      <c r="P28" s="17"/>
      <c r="Q28" s="17"/>
      <c r="R28" s="17"/>
      <c r="S28" s="17"/>
      <c r="T28" s="17"/>
      <c r="U28" s="889"/>
      <c r="V28" s="889"/>
      <c r="W28" s="889"/>
      <c r="X28" s="889"/>
      <c r="Y28" s="889"/>
      <c r="Z28" s="889"/>
    </row>
    <row r="29" spans="1:28" ht="19" thickBot="1" x14ac:dyDescent="0.25">
      <c r="B29" s="243" t="s">
        <v>1229</v>
      </c>
      <c r="C29" s="244"/>
      <c r="D29" s="877">
        <f>AA26</f>
        <v>0</v>
      </c>
      <c r="E29" s="2"/>
      <c r="F29" s="2"/>
      <c r="G29" s="2"/>
      <c r="H29" s="17"/>
      <c r="I29" s="1317" t="s">
        <v>63</v>
      </c>
      <c r="J29" s="1318"/>
      <c r="K29" s="1318"/>
      <c r="L29" s="242">
        <f>L14</f>
        <v>2018</v>
      </c>
      <c r="M29" s="17"/>
      <c r="N29" s="17"/>
      <c r="O29" s="17"/>
      <c r="P29" s="17"/>
      <c r="Q29" s="17"/>
      <c r="R29" s="17"/>
      <c r="S29" s="17"/>
      <c r="T29" s="17"/>
      <c r="U29" s="889"/>
      <c r="V29" s="889"/>
      <c r="W29" s="889"/>
      <c r="X29" s="889"/>
      <c r="Y29" s="889"/>
      <c r="Z29" s="889"/>
      <c r="AA29" s="17"/>
    </row>
    <row r="30" spans="1:28" ht="18" x14ac:dyDescent="0.2">
      <c r="B30" s="250"/>
      <c r="C30" s="251"/>
      <c r="D30" s="252"/>
      <c r="E30" s="2"/>
      <c r="F30" s="2"/>
      <c r="G30" s="2"/>
      <c r="H30" s="17"/>
      <c r="I30" s="315" t="s">
        <v>1352</v>
      </c>
      <c r="J30" s="316"/>
      <c r="K30" s="317"/>
      <c r="L30" s="410">
        <f>AVERAGE(7.22,7.58)</f>
        <v>7.4</v>
      </c>
      <c r="M30" s="17"/>
      <c r="N30" s="17"/>
      <c r="O30" s="17"/>
      <c r="P30" s="17"/>
      <c r="Q30" s="17"/>
      <c r="R30" s="17"/>
      <c r="S30" s="17"/>
      <c r="T30" s="17"/>
      <c r="U30" s="889"/>
      <c r="V30" s="889"/>
      <c r="W30" s="889"/>
      <c r="X30" s="889"/>
      <c r="Y30" s="889"/>
      <c r="Z30" s="889"/>
      <c r="AA30" s="17"/>
    </row>
    <row r="31" spans="1:28" ht="16" x14ac:dyDescent="0.15">
      <c r="H31" s="17"/>
      <c r="I31" s="342" t="s">
        <v>1353</v>
      </c>
      <c r="J31" s="343"/>
      <c r="K31" s="254"/>
      <c r="L31" s="411">
        <f>AVERAGE(7.22,7.58)</f>
        <v>7.4</v>
      </c>
      <c r="M31" s="17"/>
      <c r="N31" s="17"/>
      <c r="O31" s="17"/>
      <c r="P31" s="17"/>
      <c r="Q31" s="17"/>
      <c r="R31" s="17"/>
      <c r="S31" s="17"/>
      <c r="T31" s="17"/>
      <c r="U31" s="889"/>
      <c r="V31" s="889"/>
      <c r="W31" s="889"/>
      <c r="X31" s="889"/>
      <c r="Y31" s="889"/>
      <c r="Z31" s="889"/>
      <c r="AA31" s="17"/>
    </row>
    <row r="32" spans="1:28" x14ac:dyDescent="0.15">
      <c r="B32" s="254"/>
      <c r="C32" s="255"/>
      <c r="D32" s="255"/>
      <c r="E32" s="255"/>
      <c r="F32" s="255"/>
      <c r="H32" s="17"/>
      <c r="I32" s="335" t="s">
        <v>580</v>
      </c>
      <c r="J32" s="254"/>
      <c r="K32" s="254"/>
      <c r="L32" s="336">
        <f>L17</f>
        <v>2.5000000000000001E-2</v>
      </c>
      <c r="M32" s="17"/>
      <c r="N32" s="17"/>
      <c r="O32" s="17"/>
      <c r="P32" s="17"/>
      <c r="Q32" s="17"/>
      <c r="R32" s="17"/>
      <c r="S32" s="17"/>
      <c r="T32" s="17"/>
      <c r="U32" s="889"/>
      <c r="V32" s="889"/>
      <c r="W32" s="889"/>
      <c r="X32" s="889"/>
      <c r="Y32" s="889"/>
      <c r="Z32" s="889"/>
      <c r="AA32" s="17"/>
    </row>
    <row r="33" spans="2:14" x14ac:dyDescent="0.15">
      <c r="B33" s="254"/>
      <c r="C33" s="255"/>
      <c r="D33" s="255"/>
      <c r="E33" s="255"/>
      <c r="F33" s="255"/>
      <c r="H33" s="245"/>
      <c r="I33" s="335" t="s">
        <v>75</v>
      </c>
      <c r="J33" s="254"/>
      <c r="K33" s="254"/>
      <c r="L33" s="337">
        <f>L18</f>
        <v>0</v>
      </c>
      <c r="M33" s="245"/>
      <c r="N33" s="245"/>
    </row>
    <row r="34" spans="2:14" x14ac:dyDescent="0.15">
      <c r="B34" s="254"/>
      <c r="C34" s="255"/>
      <c r="D34" s="255"/>
      <c r="E34" s="256"/>
      <c r="F34" s="256"/>
      <c r="G34" s="237"/>
      <c r="I34" s="322" t="s">
        <v>14</v>
      </c>
      <c r="J34" s="323"/>
      <c r="K34" s="324"/>
      <c r="L34" s="325">
        <f>L19</f>
        <v>0.04</v>
      </c>
    </row>
    <row r="37" spans="2:14" x14ac:dyDescent="0.15">
      <c r="D37"/>
      <c r="E37"/>
      <c r="F37"/>
      <c r="G37"/>
      <c r="H37"/>
      <c r="I37"/>
    </row>
    <row r="38" spans="2:14" x14ac:dyDescent="0.15">
      <c r="D38"/>
      <c r="E38"/>
      <c r="F38"/>
      <c r="G38"/>
      <c r="H38"/>
      <c r="I38"/>
    </row>
    <row r="39" spans="2:14" x14ac:dyDescent="0.15">
      <c r="D39" s="1297"/>
      <c r="E39"/>
      <c r="F39"/>
      <c r="G39"/>
      <c r="H39"/>
      <c r="I39"/>
    </row>
  </sheetData>
  <mergeCells count="3">
    <mergeCell ref="I14:K14"/>
    <mergeCell ref="I29:K29"/>
    <mergeCell ref="F14:G14"/>
  </mergeCells>
  <conditionalFormatting sqref="G7:AB12 G22:AB27">
    <cfRule type="cellIs" dxfId="4" priority="3" operator="greaterThan">
      <formula>0</formula>
    </cfRule>
  </conditionalFormatting>
  <printOptions horizontalCentered="1"/>
  <pageMargins left="0.2" right="0.2" top="0.54" bottom="0.76" header="0.28000000000000003" footer="0.25"/>
  <pageSetup paperSize="3" scale="56" orientation="landscape" horizontalDpi="4294967293" r:id="rId1"/>
  <headerFooter alignWithMargins="0">
    <oddFooter xml:space="preserve">&amp;L&amp;"Franklin Gothic Book,Regular"&amp;9&amp;A; &amp;"Arial,Regular"&amp;10
&amp;F&amp;R&amp;"Franklin Gothic Book,Regular"&amp;9Prepared By: Lewis Young Robertson &amp; Burningham, Inc.
</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1"/>
  <sheetViews>
    <sheetView workbookViewId="0">
      <selection activeCell="B7" sqref="B7:D29"/>
    </sheetView>
  </sheetViews>
  <sheetFormatPr baseColWidth="10" defaultColWidth="8.83203125" defaultRowHeight="11" x14ac:dyDescent="0.15"/>
  <cols>
    <col min="1" max="1" width="3.83203125" style="566" customWidth="1"/>
    <col min="2" max="2" width="25.5" style="566" customWidth="1"/>
    <col min="3" max="3" width="24" style="566" customWidth="1"/>
    <col min="4" max="4" width="12.33203125" style="566" customWidth="1"/>
    <col min="5" max="35" width="9.83203125" style="566" customWidth="1"/>
    <col min="36" max="36" width="6.1640625" style="566" bestFit="1" customWidth="1"/>
    <col min="37" max="37" width="7.6640625" style="566" bestFit="1" customWidth="1"/>
    <col min="38" max="16384" width="8.83203125" style="566"/>
  </cols>
  <sheetData>
    <row r="1" spans="2:4" ht="13" x14ac:dyDescent="0.15">
      <c r="B1" s="921" t="str">
        <f>'D.1 - Sales Tax Revenues'!B1</f>
        <v>Millcreek Community Reinvestment Agency</v>
      </c>
    </row>
    <row r="2" spans="2:4" x14ac:dyDescent="0.15">
      <c r="B2" s="576" t="str">
        <f>'E.1 - Franchise Tax Revenues'!A2</f>
        <v>Millcreek Center CRA</v>
      </c>
    </row>
    <row r="3" spans="2:4" x14ac:dyDescent="0.15">
      <c r="B3" s="576" t="e">
        <f>'[2]A.1 - Summary '!B3</f>
        <v>#REF!</v>
      </c>
    </row>
    <row r="4" spans="2:4" x14ac:dyDescent="0.15">
      <c r="B4" s="830" t="s">
        <v>1397</v>
      </c>
    </row>
    <row r="7" spans="2:4" x14ac:dyDescent="0.15">
      <c r="B7" s="569" t="s">
        <v>1394</v>
      </c>
      <c r="C7" s="569" t="s">
        <v>1395</v>
      </c>
      <c r="D7" s="569" t="s">
        <v>1396</v>
      </c>
    </row>
    <row r="8" spans="2:4" x14ac:dyDescent="0.15">
      <c r="B8" s="566" t="s">
        <v>1400</v>
      </c>
      <c r="C8" s="566" t="s">
        <v>1399</v>
      </c>
      <c r="D8" s="814">
        <v>208000</v>
      </c>
    </row>
    <row r="9" spans="2:4" x14ac:dyDescent="0.15">
      <c r="B9" s="566" t="s">
        <v>1401</v>
      </c>
      <c r="C9" s="566" t="s">
        <v>1404</v>
      </c>
      <c r="D9" s="814">
        <v>173096</v>
      </c>
    </row>
    <row r="10" spans="2:4" x14ac:dyDescent="0.15">
      <c r="B10" s="566" t="s">
        <v>1402</v>
      </c>
      <c r="C10" s="566" t="s">
        <v>1403</v>
      </c>
      <c r="D10" s="814">
        <v>36400</v>
      </c>
    </row>
    <row r="11" spans="2:4" x14ac:dyDescent="0.15">
      <c r="B11" s="566" t="s">
        <v>1405</v>
      </c>
      <c r="C11" s="566" t="s">
        <v>1406</v>
      </c>
      <c r="D11" s="814">
        <v>6335</v>
      </c>
    </row>
    <row r="12" spans="2:4" x14ac:dyDescent="0.15">
      <c r="B12" s="566" t="s">
        <v>1407</v>
      </c>
      <c r="C12" s="566" t="s">
        <v>1408</v>
      </c>
      <c r="D12" s="814">
        <v>172301</v>
      </c>
    </row>
    <row r="13" spans="2:4" x14ac:dyDescent="0.15">
      <c r="B13" s="566" t="s">
        <v>1411</v>
      </c>
      <c r="C13" s="566" t="s">
        <v>1409</v>
      </c>
      <c r="D13" s="814">
        <v>170026</v>
      </c>
    </row>
    <row r="14" spans="2:4" x14ac:dyDescent="0.15">
      <c r="B14" s="566" t="s">
        <v>1410</v>
      </c>
      <c r="C14" s="566" t="s">
        <v>1412</v>
      </c>
      <c r="D14" s="814">
        <v>92913</v>
      </c>
    </row>
    <row r="15" spans="2:4" x14ac:dyDescent="0.15">
      <c r="B15" s="566" t="s">
        <v>1413</v>
      </c>
      <c r="C15" s="566" t="s">
        <v>1414</v>
      </c>
      <c r="D15" s="814">
        <v>459939</v>
      </c>
    </row>
    <row r="16" spans="2:4" x14ac:dyDescent="0.15">
      <c r="B16" s="566" t="s">
        <v>1415</v>
      </c>
      <c r="C16" s="566" t="s">
        <v>1416</v>
      </c>
      <c r="D16" s="814">
        <v>52356</v>
      </c>
    </row>
    <row r="17" spans="2:4" x14ac:dyDescent="0.15">
      <c r="B17" s="566" t="s">
        <v>1417</v>
      </c>
      <c r="C17" s="566" t="s">
        <v>1418</v>
      </c>
      <c r="D17" s="814">
        <v>290000</v>
      </c>
    </row>
    <row r="18" spans="2:4" x14ac:dyDescent="0.15">
      <c r="B18" s="566" t="s">
        <v>1419</v>
      </c>
      <c r="C18" s="566" t="s">
        <v>1420</v>
      </c>
      <c r="D18" s="814">
        <v>121800</v>
      </c>
    </row>
    <row r="19" spans="2:4" x14ac:dyDescent="0.15">
      <c r="B19" s="566" t="s">
        <v>1421</v>
      </c>
      <c r="C19" s="566" t="s">
        <v>1422</v>
      </c>
      <c r="D19" s="814">
        <v>153845</v>
      </c>
    </row>
    <row r="20" spans="2:4" x14ac:dyDescent="0.15">
      <c r="B20" s="566" t="s">
        <v>1423</v>
      </c>
      <c r="C20" s="566" t="s">
        <v>1424</v>
      </c>
      <c r="D20" s="814">
        <v>272310</v>
      </c>
    </row>
    <row r="21" spans="2:4" x14ac:dyDescent="0.15">
      <c r="B21" s="566" t="s">
        <v>1425</v>
      </c>
      <c r="C21" s="922" t="s">
        <v>1426</v>
      </c>
      <c r="D21" s="814">
        <v>194628</v>
      </c>
    </row>
    <row r="22" spans="2:4" ht="22" x14ac:dyDescent="0.15">
      <c r="B22" s="566" t="s">
        <v>1425</v>
      </c>
      <c r="C22" s="922" t="s">
        <v>1427</v>
      </c>
      <c r="D22" s="814">
        <v>152978</v>
      </c>
    </row>
    <row r="23" spans="2:4" x14ac:dyDescent="0.15">
      <c r="B23" s="566" t="s">
        <v>1425</v>
      </c>
      <c r="C23" s="922" t="s">
        <v>1428</v>
      </c>
      <c r="D23" s="814">
        <v>132802</v>
      </c>
    </row>
    <row r="24" spans="2:4" x14ac:dyDescent="0.15">
      <c r="B24" s="566" t="s">
        <v>1425</v>
      </c>
      <c r="C24" s="566" t="s">
        <v>1429</v>
      </c>
      <c r="D24" s="814">
        <v>166663</v>
      </c>
    </row>
    <row r="25" spans="2:4" x14ac:dyDescent="0.15">
      <c r="B25" s="566" t="s">
        <v>1430</v>
      </c>
      <c r="C25" s="566" t="s">
        <v>1431</v>
      </c>
      <c r="D25" s="814">
        <v>194522</v>
      </c>
    </row>
    <row r="26" spans="2:4" x14ac:dyDescent="0.15">
      <c r="B26" s="566" t="s">
        <v>1430</v>
      </c>
      <c r="C26" s="566" t="s">
        <v>1432</v>
      </c>
      <c r="D26" s="814">
        <v>50792</v>
      </c>
    </row>
    <row r="27" spans="2:4" ht="12" thickBot="1" x14ac:dyDescent="0.2">
      <c r="B27" s="651" t="s">
        <v>1433</v>
      </c>
      <c r="C27" s="923" t="s">
        <v>1434</v>
      </c>
      <c r="D27" s="918">
        <v>441000</v>
      </c>
    </row>
    <row r="28" spans="2:4" ht="12" thickTop="1" x14ac:dyDescent="0.15">
      <c r="B28" s="571" t="s">
        <v>13</v>
      </c>
      <c r="D28" s="919">
        <f>SUM(D8:D27)</f>
        <v>3542706</v>
      </c>
    </row>
    <row r="29" spans="2:4" x14ac:dyDescent="0.15">
      <c r="B29" s="920" t="s">
        <v>1398</v>
      </c>
    </row>
    <row r="31" spans="2:4" x14ac:dyDescent="0.15">
      <c r="B31" s="57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4" tint="-0.249977111117893"/>
    <pageSetUpPr fitToPage="1"/>
  </sheetPr>
  <dimension ref="B1:AC58"/>
  <sheetViews>
    <sheetView view="pageBreakPreview" topLeftCell="A13" zoomScale="82" zoomScaleNormal="85" zoomScaleSheetLayoutView="82" zoomScalePageLayoutView="85" workbookViewId="0">
      <selection activeCell="L54" sqref="L54"/>
    </sheetView>
  </sheetViews>
  <sheetFormatPr baseColWidth="10" defaultColWidth="8.83203125" defaultRowHeight="13" outlineLevelCol="1" x14ac:dyDescent="0.15"/>
  <cols>
    <col min="1" max="1" width="3.5" style="237" customWidth="1"/>
    <col min="2" max="2" width="6" style="237" customWidth="1"/>
    <col min="3" max="3" width="45.5" style="237" customWidth="1"/>
    <col min="4" max="4" width="17.5" style="27" bestFit="1" customWidth="1"/>
    <col min="5" max="5" width="10.5" style="27" customWidth="1"/>
    <col min="6" max="7" width="8.5" style="237" customWidth="1"/>
    <col min="8" max="8" width="7.1640625" style="237" customWidth="1"/>
    <col min="9" max="11" width="8.5" style="237" customWidth="1"/>
    <col min="12" max="12" width="15.5" style="237" bestFit="1" customWidth="1"/>
    <col min="13" max="16" width="8" style="237" customWidth="1" outlineLevel="1"/>
    <col min="17" max="17" width="11.83203125" style="237" bestFit="1" customWidth="1"/>
    <col min="18" max="19" width="8" style="237" customWidth="1" outlineLevel="1"/>
    <col min="20" max="24" width="8" style="891" customWidth="1" outlineLevel="1"/>
    <col min="25" max="25" width="14.6640625" style="237" bestFit="1" customWidth="1"/>
    <col min="26" max="26" width="13.33203125" style="237" bestFit="1" customWidth="1"/>
    <col min="27" max="16384" width="8.83203125" style="237"/>
  </cols>
  <sheetData>
    <row r="1" spans="2:27" ht="25" x14ac:dyDescent="0.25">
      <c r="B1" s="1" t="str">
        <f>'A.1 - Summary '!B1</f>
        <v>Millcreek Community Reinvestment Agency</v>
      </c>
      <c r="C1" s="236"/>
      <c r="D1" s="236"/>
      <c r="E1" s="236"/>
      <c r="F1" s="236"/>
      <c r="G1" s="236"/>
      <c r="H1" s="236"/>
      <c r="I1" s="236"/>
      <c r="J1" s="236"/>
      <c r="K1" s="236"/>
      <c r="L1" s="236"/>
      <c r="M1" s="236"/>
      <c r="N1" s="236"/>
      <c r="O1" s="236"/>
      <c r="P1" s="236"/>
      <c r="Q1" s="236"/>
      <c r="R1" s="236"/>
      <c r="S1" s="236"/>
      <c r="T1" s="890"/>
      <c r="U1" s="890"/>
      <c r="V1" s="890"/>
      <c r="W1" s="890"/>
      <c r="X1" s="890"/>
    </row>
    <row r="2" spans="2:27" ht="18" x14ac:dyDescent="0.2">
      <c r="B2" s="3" t="str">
        <f>'A.1 - Summary '!B2</f>
        <v>Millcreek Center CRA</v>
      </c>
      <c r="C2" s="238"/>
      <c r="D2" s="238"/>
      <c r="E2" s="238"/>
      <c r="F2" s="238"/>
      <c r="G2" s="238"/>
      <c r="H2" s="238"/>
      <c r="I2" s="238"/>
      <c r="J2" s="238"/>
      <c r="K2" s="238"/>
      <c r="L2" s="238"/>
      <c r="M2" s="238"/>
      <c r="N2" s="238"/>
      <c r="O2" s="238"/>
      <c r="P2" s="238"/>
      <c r="Q2" s="238"/>
      <c r="R2" s="238"/>
      <c r="S2" s="238"/>
      <c r="T2" s="892"/>
      <c r="U2" s="892"/>
      <c r="V2" s="892"/>
      <c r="W2" s="892"/>
      <c r="X2" s="892"/>
      <c r="Y2" s="238"/>
      <c r="Z2" s="238"/>
    </row>
    <row r="3" spans="2:27" ht="18" x14ac:dyDescent="0.2">
      <c r="B3" s="3" t="str">
        <f>'A.1 - Summary '!B3</f>
        <v>Increment and Budget Analysis</v>
      </c>
      <c r="C3" s="238"/>
      <c r="D3" s="238"/>
      <c r="E3" s="238"/>
      <c r="F3" s="238"/>
      <c r="G3" s="238"/>
      <c r="H3" s="238"/>
      <c r="I3" s="238"/>
      <c r="J3" s="238"/>
      <c r="K3" s="238"/>
      <c r="L3" s="238"/>
      <c r="M3" s="238"/>
      <c r="N3" s="238"/>
      <c r="O3" s="238"/>
      <c r="P3" s="238"/>
      <c r="Q3" s="238"/>
      <c r="R3" s="238"/>
      <c r="S3" s="238"/>
      <c r="T3" s="892"/>
      <c r="U3" s="892"/>
      <c r="V3" s="892"/>
      <c r="W3" s="892"/>
      <c r="X3" s="892"/>
      <c r="Y3" s="238"/>
      <c r="Z3" s="238"/>
    </row>
    <row r="4" spans="2:27" ht="18" x14ac:dyDescent="0.2">
      <c r="B4" s="4" t="s">
        <v>1358</v>
      </c>
      <c r="C4" s="238"/>
      <c r="D4" s="238"/>
      <c r="E4" s="238"/>
      <c r="F4" s="238"/>
      <c r="G4" s="238"/>
      <c r="H4" s="238"/>
      <c r="I4" s="238"/>
      <c r="J4" s="238"/>
      <c r="K4" s="238"/>
      <c r="L4" s="238"/>
      <c r="M4" s="238"/>
      <c r="N4" s="238"/>
      <c r="O4" s="238"/>
      <c r="P4" s="238"/>
      <c r="Q4" s="238"/>
      <c r="R4" s="238"/>
      <c r="S4" s="238"/>
      <c r="T4" s="892"/>
      <c r="U4" s="892"/>
      <c r="V4" s="892"/>
      <c r="W4" s="892"/>
      <c r="X4" s="892"/>
      <c r="Y4" s="238"/>
      <c r="Z4" s="238"/>
    </row>
    <row r="5" spans="2:27" ht="14" thickBot="1" x14ac:dyDescent="0.2">
      <c r="E5" s="237"/>
    </row>
    <row r="6" spans="2:27" s="239" customFormat="1" ht="26.25" customHeight="1" x14ac:dyDescent="0.2">
      <c r="B6" s="564"/>
      <c r="C6" s="437" t="s">
        <v>59</v>
      </c>
      <c r="D6" s="439" t="s">
        <v>61</v>
      </c>
      <c r="E6" s="440">
        <v>2020</v>
      </c>
      <c r="F6" s="441">
        <f t="shared" ref="F6:S6" si="0">E6+1</f>
        <v>2021</v>
      </c>
      <c r="G6" s="442">
        <f t="shared" si="0"/>
        <v>2022</v>
      </c>
      <c r="H6" s="442">
        <f t="shared" si="0"/>
        <v>2023</v>
      </c>
      <c r="I6" s="442">
        <f t="shared" si="0"/>
        <v>2024</v>
      </c>
      <c r="J6" s="442">
        <f t="shared" si="0"/>
        <v>2025</v>
      </c>
      <c r="K6" s="442">
        <f t="shared" si="0"/>
        <v>2026</v>
      </c>
      <c r="L6" s="442">
        <f t="shared" si="0"/>
        <v>2027</v>
      </c>
      <c r="M6" s="442">
        <f t="shared" si="0"/>
        <v>2028</v>
      </c>
      <c r="N6" s="442">
        <f t="shared" si="0"/>
        <v>2029</v>
      </c>
      <c r="O6" s="442">
        <f t="shared" si="0"/>
        <v>2030</v>
      </c>
      <c r="P6" s="442">
        <f t="shared" si="0"/>
        <v>2031</v>
      </c>
      <c r="Q6" s="442">
        <f t="shared" si="0"/>
        <v>2032</v>
      </c>
      <c r="R6" s="442">
        <f t="shared" si="0"/>
        <v>2033</v>
      </c>
      <c r="S6" s="442">
        <f t="shared" si="0"/>
        <v>2034</v>
      </c>
      <c r="T6" s="893">
        <f t="shared" ref="T6" si="1">S6+1</f>
        <v>2035</v>
      </c>
      <c r="U6" s="893">
        <f t="shared" ref="U6" si="2">T6+1</f>
        <v>2036</v>
      </c>
      <c r="V6" s="893">
        <f t="shared" ref="V6" si="3">U6+1</f>
        <v>2037</v>
      </c>
      <c r="W6" s="893">
        <f t="shared" ref="W6" si="4">V6+1</f>
        <v>2038</v>
      </c>
      <c r="X6" s="893">
        <f t="shared" ref="X6" si="5">W6+1</f>
        <v>2039</v>
      </c>
      <c r="Y6" s="442" t="s">
        <v>13</v>
      </c>
      <c r="Z6" s="893" t="s">
        <v>1388</v>
      </c>
    </row>
    <row r="7" spans="2:27" ht="12.75" customHeight="1" x14ac:dyDescent="0.15">
      <c r="B7" s="1085"/>
      <c r="C7" s="334" t="str">
        <f>'E.1 - Franchise Tax Revenues'!B7</f>
        <v xml:space="preserve">Commercial </v>
      </c>
      <c r="D7" s="1282"/>
      <c r="E7" s="714">
        <f>'B.1 - Dev Pro Forma'!E108*($L$13*(1+$L$14)^(E$6-$L$12))*$L$18*$L$17</f>
        <v>808.49001365052959</v>
      </c>
      <c r="F7" s="714">
        <f>'B.1 - Dev Pro Forma'!F108*($L$13*(1+$L$14)^(F$6-$L$12))*$L$18*$L$17</f>
        <v>1603.8029996641155</v>
      </c>
      <c r="G7" s="714">
        <f>'B.1 - Dev Pro Forma'!G108*($L$13*(1+$L$14)^(G$6-$L$12))*$L$18*$L$17</f>
        <v>1891.8943073677151</v>
      </c>
      <c r="H7" s="714">
        <f>'B.1 - Dev Pro Forma'!H108*($L$13*(1+$L$14)^(H$6-$L$12))*$L$18*$L$17</f>
        <v>2269.4857054597874</v>
      </c>
      <c r="I7" s="714">
        <f>'B.1 - Dev Pro Forma'!I108*($L$13*(1+$L$14)^(I$6-$L$12))*$L$18*$L$17</f>
        <v>2595.3714933123852</v>
      </c>
      <c r="J7" s="714">
        <f>'B.1 - Dev Pro Forma'!J108*($L$13*(1+$L$14)^(J$6-$L$12))*$L$18*$L$17</f>
        <v>2943.9480388836059</v>
      </c>
      <c r="K7" s="714">
        <f>'B.1 - Dev Pro Forma'!K108*($L$13*(1+$L$14)^(K$6-$L$12))*$L$18*$L$17</f>
        <v>3477.8254505161644</v>
      </c>
      <c r="L7" s="714">
        <f>'B.1 - Dev Pro Forma'!L108*($L$13*(1+$L$14)^(L$6-$L$12))*$L$18*$L$17</f>
        <v>4031.3160038994147</v>
      </c>
      <c r="M7" s="714">
        <f>'B.1 - Dev Pro Forma'!M108*($L$13*(1+$L$14)^(M$6-$L$12))*$L$18*$L$17</f>
        <v>4733.4407659502103</v>
      </c>
      <c r="N7" s="714">
        <f>'B.1 - Dev Pro Forma'!N108*($L$13*(1+$L$14)^(N$6-$L$12))*$L$18*$L$17</f>
        <v>5471.2723026815183</v>
      </c>
      <c r="O7" s="714">
        <f>'B.1 - Dev Pro Forma'!O108*($L$13*(1+$L$14)^(O$6-$L$12))*$L$18*$L$17</f>
        <v>6386.3251546705378</v>
      </c>
      <c r="P7" s="714">
        <f>'B.1 - Dev Pro Forma'!P108*($L$13*(1+$L$14)^(P$6-$L$12))*$L$18*$L$17</f>
        <v>6522.8440039895004</v>
      </c>
      <c r="Q7" s="714">
        <f>'B.1 - Dev Pro Forma'!Q108*($L$13*(1+$L$14)^(Q$6-$L$12))*$L$18*$L$17</f>
        <v>6685.9151040892375</v>
      </c>
      <c r="R7" s="714">
        <f>'B.1 - Dev Pro Forma'!R108*($L$13*(1+$L$14)^(R$6-$L$12))*$L$18*$L$17</f>
        <v>6853.0629816914707</v>
      </c>
      <c r="S7" s="714">
        <f>'B.1 - Dev Pro Forma'!S108*($L$13*(1+$L$14)^(S$6-$L$12))*$L$18*$L$17</f>
        <v>7024.3895562337548</v>
      </c>
      <c r="T7" s="714">
        <f>'B.1 - Dev Pro Forma'!T108*($L$13*(1+$L$14)^(T$6-$L$12))*$L$18*$L$17</f>
        <v>7199.9992951395971</v>
      </c>
      <c r="U7" s="714">
        <f>'B.1 - Dev Pro Forma'!U108*($L$13*(1+$L$14)^(U$6-$L$12))*$L$18*$L$17</f>
        <v>7379.999277518089</v>
      </c>
      <c r="V7" s="714">
        <f>'B.1 - Dev Pro Forma'!V108*($L$13*(1+$L$14)^(V$6-$L$12))*$L$18*$L$17</f>
        <v>7564.4992594560408</v>
      </c>
      <c r="W7" s="714">
        <f>'B.1 - Dev Pro Forma'!W108*($L$13*(1+$L$14)^(W$6-$L$12))*$L$18*$L$17</f>
        <v>7753.6117409424414</v>
      </c>
      <c r="X7" s="714">
        <f>'B.1 - Dev Pro Forma'!X108*($L$13*(1+$L$14)^(X$6-$L$12))*$L$18*$L$17</f>
        <v>7947.4520344660004</v>
      </c>
      <c r="Y7" s="715">
        <f>SUM(E7:X7)</f>
        <v>101144.94548958213</v>
      </c>
      <c r="Z7" s="820">
        <f>NPV($L$19,F7:X7)</f>
        <v>63382.686086846363</v>
      </c>
    </row>
    <row r="8" spans="2:27" s="891" customFormat="1" ht="12.75" customHeight="1" x14ac:dyDescent="0.15">
      <c r="B8" s="1085"/>
      <c r="C8" s="334" t="str">
        <f>'E.1 - Franchise Tax Revenues'!B8</f>
        <v>Office</v>
      </c>
      <c r="D8" s="1283"/>
      <c r="E8" s="714">
        <v>0</v>
      </c>
      <c r="F8" s="714">
        <f>'B.1 - Dev Pro Forma'!F113*($L$13*(1+$L$14)^(F$6-$L$12))*$L$18*$L$17</f>
        <v>962.48940360008362</v>
      </c>
      <c r="G8" s="714">
        <f>'B.1 - Dev Pro Forma'!G113*($L$13*(1+$L$14)^(G$6-$L$12))*$L$18*$L$17</f>
        <v>2085.0548450072292</v>
      </c>
      <c r="H8" s="714">
        <f>'B.1 - Dev Pro Forma'!H113*($L$13*(1+$L$14)^(H$6-$L$12))*$L$18*$L$17</f>
        <v>3768.1207174334104</v>
      </c>
      <c r="I8" s="714">
        <f>'B.1 - Dev Pro Forma'!I113*($L$13*(1+$L$14)^(I$6-$L$12))*$L$18*$L$17</f>
        <v>5503.493774070781</v>
      </c>
      <c r="J8" s="714">
        <f>'B.1 - Dev Pro Forma'!J113*($L$13*(1+$L$14)^(J$6-$L$12))*$L$18*$L$17</f>
        <v>7579.7236373104761</v>
      </c>
      <c r="K8" s="714">
        <f>'B.1 - Dev Pro Forma'!K113*($L$13*(1+$L$14)^(K$6-$L$12))*$L$18*$L$17</f>
        <v>9753.9356897961625</v>
      </c>
      <c r="L8" s="714">
        <f>'B.1 - Dev Pro Forma'!L113*($L$13*(1+$L$14)^(L$6-$L$12))*$L$18*$L$17</f>
        <v>12021.623756997604</v>
      </c>
      <c r="M8" s="714">
        <f>'B.1 - Dev Pro Forma'!M113*($L$13*(1+$L$14)^(M$6-$L$12))*$L$18*$L$17</f>
        <v>14403.773145853724</v>
      </c>
      <c r="N8" s="714">
        <f>'B.1 - Dev Pro Forma'!N113*($L$13*(1+$L$14)^(N$6-$L$12))*$L$18*$L$17</f>
        <v>17169.553146974933</v>
      </c>
      <c r="O8" s="714">
        <f>'B.1 - Dev Pro Forma'!O113*($L$13*(1+$L$14)^(O$6-$L$12))*$L$18*$L$17</f>
        <v>20917.335487850822</v>
      </c>
      <c r="P8" s="714">
        <f>'B.1 - Dev Pro Forma'!P113*($L$13*(1+$L$14)^(P$6-$L$12))*$L$18*$L$17</f>
        <v>24744.831311288515</v>
      </c>
      <c r="Q8" s="714">
        <f>'B.1 - Dev Pro Forma'!Q113*($L$13*(1+$L$14)^(Q$6-$L$12))*$L$18*$L$17</f>
        <v>28798.135338800312</v>
      </c>
      <c r="R8" s="714">
        <f>'B.1 - Dev Pro Forma'!R113*($L$13*(1+$L$14)^(R$6-$L$12))*$L$18*$L$17</f>
        <v>29518.088722270328</v>
      </c>
      <c r="S8" s="714">
        <f>'B.1 - Dev Pro Forma'!S113*($L$13*(1+$L$14)^(S$6-$L$12))*$L$18*$L$17</f>
        <v>30256.040940327075</v>
      </c>
      <c r="T8" s="714">
        <f>'B.1 - Dev Pro Forma'!T113*($L$13*(1+$L$14)^(T$6-$L$12))*$L$18*$L$17</f>
        <v>31012.441963835248</v>
      </c>
      <c r="U8" s="714">
        <f>'B.1 - Dev Pro Forma'!U113*($L$13*(1+$L$14)^(U$6-$L$12))*$L$18*$L$17</f>
        <v>31787.753012931131</v>
      </c>
      <c r="V8" s="714">
        <f>'B.1 - Dev Pro Forma'!V113*($L$13*(1+$L$14)^(V$6-$L$12))*$L$18*$L$17</f>
        <v>32582.446838254418</v>
      </c>
      <c r="W8" s="714">
        <f>'B.1 - Dev Pro Forma'!W113*($L$13*(1+$L$14)^(W$6-$L$12))*$L$18*$L$17</f>
        <v>33397.008009210767</v>
      </c>
      <c r="X8" s="714">
        <f>'B.1 - Dev Pro Forma'!X113*($L$13*(1+$L$14)^(X$6-$L$12))*$L$18*$L$17</f>
        <v>34231.933209441035</v>
      </c>
      <c r="Y8" s="715">
        <f t="shared" ref="Y8:Y9" si="6">SUM(E8:X8)</f>
        <v>370493.78295125405</v>
      </c>
      <c r="Z8" s="820">
        <f t="shared" ref="Z8:Z9" si="7">NPV($L$19,F8:X8)</f>
        <v>223613.72395214497</v>
      </c>
    </row>
    <row r="9" spans="2:27" s="891" customFormat="1" ht="12.75" customHeight="1" x14ac:dyDescent="0.15">
      <c r="B9" s="1085"/>
      <c r="C9" s="334" t="str">
        <f>'E.1 - Franchise Tax Revenues'!B9</f>
        <v>Residential</v>
      </c>
      <c r="D9" s="895"/>
      <c r="E9" s="714">
        <f>'B.1 - Dev Pro Forma'!E118*($L$13*(1+$L$14)^(E$6-$L$12))*$L$18*$L$17</f>
        <v>6971.7740142210168</v>
      </c>
      <c r="F9" s="714">
        <f>'B.1 - Dev Pro Forma'!F118*($L$13*(1+$L$14)^(F$6-$L$12))*$L$18*$L$17</f>
        <v>13772.566280556895</v>
      </c>
      <c r="G9" s="714">
        <f>'B.1 - Dev Pro Forma'!G118*($L$13*(1+$L$14)^(G$6-$L$12))*$L$18*$L$17</f>
        <v>14513.80244776337</v>
      </c>
      <c r="H9" s="714">
        <f>'B.1 - Dev Pro Forma'!H118*($L$13*(1+$L$14)^(H$6-$L$12))*$L$18*$L$17</f>
        <v>15950.640534007718</v>
      </c>
      <c r="I9" s="714">
        <f>'B.1 - Dev Pro Forma'!I118*($L$13*(1+$L$14)^(I$6-$L$12))*$L$18*$L$17</f>
        <v>17240.741806055048</v>
      </c>
      <c r="J9" s="714">
        <f>'B.1 - Dev Pro Forma'!J118*($L$13*(1+$L$14)^(J$6-$L$12))*$L$18*$L$17</f>
        <v>18599.934243073694</v>
      </c>
      <c r="K9" s="714">
        <f>'B.1 - Dev Pro Forma'!K118*($L$13*(1+$L$14)^(K$6-$L$12))*$L$18*$L$17</f>
        <v>18990.336934174167</v>
      </c>
      <c r="L9" s="714">
        <f>'B.1 - Dev Pro Forma'!L118*($L$13*(1+$L$14)^(L$6-$L$12))*$L$18*$L$17</f>
        <v>19465.095357528517</v>
      </c>
      <c r="M9" s="714">
        <f>'B.1 - Dev Pro Forma'!M118*($L$13*(1+$L$14)^(M$6-$L$12))*$L$18*$L$17</f>
        <v>19951.722741466732</v>
      </c>
      <c r="N9" s="714">
        <f>'B.1 - Dev Pro Forma'!N118*($L$13*(1+$L$14)^(N$6-$L$12))*$L$18*$L$17</f>
        <v>20450.515810003399</v>
      </c>
      <c r="O9" s="714">
        <f>'B.1 - Dev Pro Forma'!O118*($L$13*(1+$L$14)^(O$6-$L$12))*$L$18*$L$17</f>
        <v>20961.778705253484</v>
      </c>
      <c r="P9" s="714">
        <f>'B.1 - Dev Pro Forma'!P118*($L$13*(1+$L$14)^(P$6-$L$12))*$L$18*$L$17</f>
        <v>21485.823172884819</v>
      </c>
      <c r="Q9" s="714">
        <f>'B.1 - Dev Pro Forma'!Q118*($L$13*(1+$L$14)^(Q$6-$L$12))*$L$18*$L$17</f>
        <v>22022.968752206936</v>
      </c>
      <c r="R9" s="714">
        <f>'B.1 - Dev Pro Forma'!R118*($L$13*(1+$L$14)^(R$6-$L$12))*$L$18*$L$17</f>
        <v>22573.542971012113</v>
      </c>
      <c r="S9" s="714">
        <f>'B.1 - Dev Pro Forma'!S118*($L$13*(1+$L$14)^(S$6-$L$12))*$L$18*$L$17</f>
        <v>23137.881545287411</v>
      </c>
      <c r="T9" s="714">
        <f>'B.1 - Dev Pro Forma'!T118*($L$13*(1+$L$14)^(T$6-$L$12))*$L$18*$L$17</f>
        <v>23716.328583919596</v>
      </c>
      <c r="U9" s="714">
        <f>'B.1 - Dev Pro Forma'!U118*($L$13*(1+$L$14)^(U$6-$L$12))*$L$18*$L$17</f>
        <v>24309.236798517588</v>
      </c>
      <c r="V9" s="714">
        <f>'B.1 - Dev Pro Forma'!V118*($L$13*(1+$L$14)^(V$6-$L$12))*$L$18*$L$17</f>
        <v>24916.96771848053</v>
      </c>
      <c r="W9" s="714">
        <f>'B.1 - Dev Pro Forma'!W118*($L$13*(1+$L$14)^(W$6-$L$12))*$L$18*$L$17</f>
        <v>25539.891911442541</v>
      </c>
      <c r="X9" s="714">
        <f>'B.1 - Dev Pro Forma'!X118*($L$13*(1+$L$14)^(X$6-$L$12))*$L$18*$L$17</f>
        <v>26178.389209228597</v>
      </c>
      <c r="Y9" s="715">
        <f t="shared" si="6"/>
        <v>400749.9395370842</v>
      </c>
      <c r="Z9" s="820">
        <f t="shared" si="7"/>
        <v>262377.93679198285</v>
      </c>
    </row>
    <row r="10" spans="2:27" ht="12.75" customHeight="1" thickBot="1" x14ac:dyDescent="0.2">
      <c r="B10" s="565"/>
      <c r="C10" s="559" t="s">
        <v>13</v>
      </c>
      <c r="D10" s="561"/>
      <c r="E10" s="716">
        <f>SUM(E7:E9)</f>
        <v>7780.2640278715462</v>
      </c>
      <c r="F10" s="716">
        <f t="shared" ref="F10:X10" si="8">SUM(F7:F9)</f>
        <v>16338.858683821094</v>
      </c>
      <c r="G10" s="716">
        <f t="shared" si="8"/>
        <v>18490.751600138316</v>
      </c>
      <c r="H10" s="716">
        <f t="shared" si="8"/>
        <v>21988.246956900915</v>
      </c>
      <c r="I10" s="716">
        <f t="shared" si="8"/>
        <v>25339.607073438216</v>
      </c>
      <c r="J10" s="716">
        <f t="shared" si="8"/>
        <v>29123.605919267779</v>
      </c>
      <c r="K10" s="716">
        <f t="shared" si="8"/>
        <v>32222.098074486494</v>
      </c>
      <c r="L10" s="716">
        <f t="shared" si="8"/>
        <v>35518.035118425534</v>
      </c>
      <c r="M10" s="716">
        <f t="shared" si="8"/>
        <v>39088.936653270663</v>
      </c>
      <c r="N10" s="716">
        <f t="shared" si="8"/>
        <v>43091.34125965985</v>
      </c>
      <c r="O10" s="716">
        <f t="shared" si="8"/>
        <v>48265.439347774845</v>
      </c>
      <c r="P10" s="716">
        <f t="shared" si="8"/>
        <v>52753.498488162833</v>
      </c>
      <c r="Q10" s="716">
        <f t="shared" si="8"/>
        <v>57507.019195096487</v>
      </c>
      <c r="R10" s="716">
        <f t="shared" si="8"/>
        <v>58944.694674973915</v>
      </c>
      <c r="S10" s="716">
        <f t="shared" si="8"/>
        <v>60418.312041848243</v>
      </c>
      <c r="T10" s="716">
        <f t="shared" si="8"/>
        <v>61928.769842894442</v>
      </c>
      <c r="U10" s="716">
        <f t="shared" si="8"/>
        <v>63476.98908896681</v>
      </c>
      <c r="V10" s="716">
        <f t="shared" si="8"/>
        <v>65063.913816190994</v>
      </c>
      <c r="W10" s="716">
        <f t="shared" si="8"/>
        <v>66690.511661595752</v>
      </c>
      <c r="X10" s="716">
        <f t="shared" si="8"/>
        <v>68357.774453135629</v>
      </c>
      <c r="Y10" s="717">
        <f>SUM(E10:X10)</f>
        <v>872388.66797792038</v>
      </c>
      <c r="Z10" s="900">
        <f>NPV($L$19,F10:X10)</f>
        <v>549374.34683097422</v>
      </c>
    </row>
    <row r="11" spans="2:27" x14ac:dyDescent="0.15">
      <c r="D11" s="240"/>
      <c r="E11" s="240"/>
      <c r="F11" s="240"/>
      <c r="G11" s="240"/>
      <c r="H11" s="240"/>
      <c r="I11" s="240"/>
      <c r="J11" s="240"/>
      <c r="K11" s="240"/>
      <c r="L11" s="240"/>
      <c r="M11" s="240"/>
      <c r="N11" s="240"/>
      <c r="O11" s="240"/>
      <c r="P11" s="240"/>
      <c r="Z11" s="444"/>
      <c r="AA11" s="447"/>
    </row>
    <row r="12" spans="2:27" ht="15" thickBot="1" x14ac:dyDescent="0.2">
      <c r="C12" s="241"/>
      <c r="D12" s="241"/>
      <c r="E12" s="241"/>
      <c r="F12" s="6"/>
      <c r="G12" s="1317" t="s">
        <v>63</v>
      </c>
      <c r="H12" s="1318"/>
      <c r="I12" s="1318"/>
      <c r="J12" s="578"/>
      <c r="K12" s="253"/>
      <c r="L12" s="242">
        <v>2018</v>
      </c>
      <c r="O12" s="17"/>
      <c r="P12" s="17"/>
    </row>
    <row r="13" spans="2:27" ht="19" thickBot="1" x14ac:dyDescent="0.25">
      <c r="C13" s="243" t="s">
        <v>1468</v>
      </c>
      <c r="D13" s="1321">
        <f>Y10</f>
        <v>872388.66797792038</v>
      </c>
      <c r="E13" s="1322"/>
      <c r="F13" s="17"/>
      <c r="G13" s="315" t="s">
        <v>1462</v>
      </c>
      <c r="H13" s="316"/>
      <c r="I13" s="317"/>
      <c r="J13" s="317"/>
      <c r="K13" s="317"/>
      <c r="L13" s="318">
        <f>L16/L15</f>
        <v>1.3703415835712249E-3</v>
      </c>
      <c r="O13" s="17"/>
      <c r="P13" s="17"/>
      <c r="Y13" s="17"/>
      <c r="Z13" s="17"/>
      <c r="AA13" s="17"/>
    </row>
    <row r="14" spans="2:27" x14ac:dyDescent="0.15">
      <c r="F14" s="17"/>
      <c r="G14" s="335" t="s">
        <v>74</v>
      </c>
      <c r="H14" s="452"/>
      <c r="I14" s="452"/>
      <c r="J14" s="452"/>
      <c r="K14" s="339"/>
      <c r="L14" s="336">
        <f>'E.1 - Franchise Tax Revenues'!L17</f>
        <v>2.5000000000000001E-2</v>
      </c>
      <c r="O14" s="17"/>
      <c r="P14" s="17"/>
      <c r="Y14" s="17"/>
      <c r="Z14" s="17"/>
      <c r="AA14" s="17"/>
    </row>
    <row r="15" spans="2:27" ht="16" x14ac:dyDescent="0.15">
      <c r="F15" s="17"/>
      <c r="G15" s="335" t="s">
        <v>1463</v>
      </c>
      <c r="H15" s="452"/>
      <c r="I15" s="452"/>
      <c r="J15" s="452"/>
      <c r="K15" s="712"/>
      <c r="L15" s="579">
        <v>5102419779</v>
      </c>
      <c r="O15" s="319"/>
      <c r="P15" s="321"/>
      <c r="Y15" s="17"/>
      <c r="Z15" s="17"/>
      <c r="AA15" s="17"/>
    </row>
    <row r="16" spans="2:27" ht="16" x14ac:dyDescent="0.15">
      <c r="F16" s="245"/>
      <c r="G16" s="335" t="s">
        <v>2118</v>
      </c>
      <c r="H16" s="452"/>
      <c r="I16" s="452"/>
      <c r="J16" s="452"/>
      <c r="K16" s="338"/>
      <c r="L16" s="294">
        <v>6992058</v>
      </c>
      <c r="P16" s="319"/>
    </row>
    <row r="17" spans="2:29" x14ac:dyDescent="0.15">
      <c r="F17" s="245"/>
      <c r="G17" s="335" t="s">
        <v>1272</v>
      </c>
      <c r="H17" s="452"/>
      <c r="I17" s="452"/>
      <c r="J17" s="452"/>
      <c r="K17" s="338"/>
      <c r="L17" s="337">
        <v>0.25</v>
      </c>
      <c r="O17" s="319"/>
      <c r="P17" s="319"/>
    </row>
    <row r="18" spans="2:29" x14ac:dyDescent="0.15">
      <c r="F18" s="245"/>
      <c r="G18" s="291" t="s">
        <v>1223</v>
      </c>
      <c r="H18" s="452"/>
      <c r="I18" s="452"/>
      <c r="J18" s="452"/>
      <c r="K18" s="339"/>
      <c r="L18" s="337">
        <v>0.65</v>
      </c>
      <c r="O18" s="319"/>
      <c r="P18" s="319"/>
    </row>
    <row r="19" spans="2:29" x14ac:dyDescent="0.15">
      <c r="G19" s="322" t="s">
        <v>14</v>
      </c>
      <c r="H19" s="323"/>
      <c r="I19" s="324"/>
      <c r="J19" s="324"/>
      <c r="K19" s="340"/>
      <c r="L19" s="341">
        <v>0.04</v>
      </c>
      <c r="O19" s="319"/>
      <c r="P19" s="320"/>
      <c r="Q19" s="319"/>
      <c r="R19" s="319"/>
      <c r="S19" s="319"/>
      <c r="T19" s="319"/>
      <c r="U19" s="319"/>
      <c r="V19" s="319"/>
      <c r="W19" s="319"/>
      <c r="X19" s="319"/>
    </row>
    <row r="20" spans="2:29" x14ac:dyDescent="0.15">
      <c r="B20" s="449"/>
      <c r="C20" s="449"/>
      <c r="D20" s="246"/>
      <c r="E20" s="246"/>
      <c r="F20" s="449"/>
      <c r="G20" s="449"/>
      <c r="H20" s="449"/>
      <c r="I20" s="449"/>
      <c r="J20" s="449"/>
      <c r="K20" s="449"/>
      <c r="L20" s="449"/>
      <c r="M20" s="449"/>
      <c r="N20" s="449"/>
      <c r="O20" s="324"/>
      <c r="P20" s="319"/>
      <c r="Q20" s="319"/>
      <c r="R20" s="319"/>
      <c r="S20" s="319"/>
      <c r="T20" s="319"/>
      <c r="U20" s="319"/>
      <c r="V20" s="319"/>
      <c r="W20" s="319"/>
      <c r="X20" s="319"/>
    </row>
    <row r="21" spans="2:29" x14ac:dyDescent="0.15">
      <c r="B21" s="247" t="s">
        <v>1466</v>
      </c>
      <c r="C21" s="241"/>
      <c r="D21" s="6"/>
      <c r="E21" s="6"/>
      <c r="F21" s="241"/>
      <c r="G21" s="241"/>
      <c r="H21" s="241"/>
      <c r="I21" s="241"/>
      <c r="J21" s="241"/>
      <c r="K21" s="241"/>
      <c r="O21" s="319"/>
      <c r="P21" s="319"/>
      <c r="Q21" s="319"/>
      <c r="R21" s="319"/>
      <c r="S21" s="319"/>
      <c r="T21" s="319"/>
      <c r="U21" s="319"/>
      <c r="V21" s="319"/>
      <c r="W21" s="319"/>
      <c r="X21" s="319"/>
    </row>
    <row r="22" spans="2:29" x14ac:dyDescent="0.15">
      <c r="B22" s="248" t="s">
        <v>2119</v>
      </c>
      <c r="C22" s="241"/>
      <c r="D22" s="255"/>
      <c r="E22" s="6"/>
      <c r="F22" s="241"/>
      <c r="G22" s="241"/>
      <c r="H22" s="241"/>
      <c r="I22" s="241"/>
      <c r="J22" s="241"/>
      <c r="K22" s="241"/>
    </row>
    <row r="23" spans="2:29" ht="14" thickBot="1" x14ac:dyDescent="0.2"/>
    <row r="24" spans="2:29" s="239" customFormat="1" ht="26.25" customHeight="1" x14ac:dyDescent="0.2">
      <c r="B24" s="564"/>
      <c r="C24" s="437" t="s">
        <v>607</v>
      </c>
      <c r="D24" s="439" t="s">
        <v>61</v>
      </c>
      <c r="E24" s="440">
        <v>2020</v>
      </c>
      <c r="F24" s="441">
        <f t="shared" ref="F24:S24" si="9">E24+1</f>
        <v>2021</v>
      </c>
      <c r="G24" s="442">
        <f t="shared" si="9"/>
        <v>2022</v>
      </c>
      <c r="H24" s="442">
        <f t="shared" si="9"/>
        <v>2023</v>
      </c>
      <c r="I24" s="442">
        <f t="shared" si="9"/>
        <v>2024</v>
      </c>
      <c r="J24" s="442">
        <f t="shared" si="9"/>
        <v>2025</v>
      </c>
      <c r="K24" s="442">
        <f t="shared" si="9"/>
        <v>2026</v>
      </c>
      <c r="L24" s="442">
        <f t="shared" si="9"/>
        <v>2027</v>
      </c>
      <c r="M24" s="442">
        <f t="shared" si="9"/>
        <v>2028</v>
      </c>
      <c r="N24" s="442">
        <f t="shared" si="9"/>
        <v>2029</v>
      </c>
      <c r="O24" s="442">
        <f t="shared" si="9"/>
        <v>2030</v>
      </c>
      <c r="P24" s="442">
        <f t="shared" si="9"/>
        <v>2031</v>
      </c>
      <c r="Q24" s="442">
        <f t="shared" si="9"/>
        <v>2032</v>
      </c>
      <c r="R24" s="442">
        <f t="shared" si="9"/>
        <v>2033</v>
      </c>
      <c r="S24" s="442">
        <f t="shared" si="9"/>
        <v>2034</v>
      </c>
      <c r="T24" s="893">
        <f t="shared" ref="T24" si="10">S24+1</f>
        <v>2035</v>
      </c>
      <c r="U24" s="893">
        <f t="shared" ref="U24" si="11">T24+1</f>
        <v>2036</v>
      </c>
      <c r="V24" s="893">
        <f t="shared" ref="V24" si="12">U24+1</f>
        <v>2037</v>
      </c>
      <c r="W24" s="893">
        <f t="shared" ref="W24" si="13">V24+1</f>
        <v>2038</v>
      </c>
      <c r="X24" s="893">
        <f t="shared" ref="X24" si="14">W24+1</f>
        <v>2039</v>
      </c>
      <c r="Y24" s="442" t="s">
        <v>13</v>
      </c>
      <c r="Z24" s="893" t="s">
        <v>1388</v>
      </c>
    </row>
    <row r="25" spans="2:29" ht="12.75" customHeight="1" x14ac:dyDescent="0.15">
      <c r="B25" s="1085"/>
      <c r="C25" s="334" t="str">
        <f>C7</f>
        <v xml:space="preserve">Commercial </v>
      </c>
      <c r="D25" s="1282"/>
      <c r="E25" s="714">
        <f>'B.1 - Dev Pro Forma'!E108*($L$31*(1+$L$32)^(E$24-$L$30))*$L$36*$L$35</f>
        <v>1226.8305199187378</v>
      </c>
      <c r="F25" s="714">
        <f>'B.1 - Dev Pro Forma'!F108*($L$31*(1+$L$32)^(F$24-$L$30))*$L$36*$L$35</f>
        <v>2433.6657654446331</v>
      </c>
      <c r="G25" s="714">
        <f>'B.1 - Dev Pro Forma'!G108*($L$31*(1+$L$32)^(G$24-$L$30))*$L$36*$L$35</f>
        <v>2870.8254122511676</v>
      </c>
      <c r="H25" s="714">
        <f>'B.1 - Dev Pro Forma'!H108*($L$31*(1+$L$32)^(H$24-$L$30))*$L$36*$L$35</f>
        <v>3443.7955707154579</v>
      </c>
      <c r="I25" s="714">
        <f>'B.1 - Dev Pro Forma'!I108*($L$31*(1+$L$32)^(I$24-$L$30))*$L$36*$L$35</f>
        <v>3938.3058600140303</v>
      </c>
      <c r="J25" s="714">
        <f>'B.1 - Dev Pro Forma'!J108*($L$31*(1+$L$32)^(J$24-$L$30))*$L$36*$L$35</f>
        <v>4467.2478845465284</v>
      </c>
      <c r="K25" s="714">
        <f>'B.1 - Dev Pro Forma'!K108*($L$31*(1+$L$32)^(K$24-$L$30))*$L$36*$L$35</f>
        <v>5277.3718086858762</v>
      </c>
      <c r="L25" s="714">
        <f>'B.1 - Dev Pro Forma'!L108*($L$31*(1+$L$32)^(L$24-$L$30))*$L$36*$L$35</f>
        <v>6117.2573878673129</v>
      </c>
      <c r="M25" s="714">
        <f>'B.1 - Dev Pro Forma'!M108*($L$31*(1+$L$32)^(M$24-$L$30))*$L$36*$L$35</f>
        <v>7182.6856211552167</v>
      </c>
      <c r="N25" s="714">
        <f>'B.1 - Dev Pro Forma'!N108*($L$31*(1+$L$32)^(N$24-$L$30))*$L$36*$L$35</f>
        <v>8302.2965409405333</v>
      </c>
      <c r="O25" s="714">
        <f>'B.1 - Dev Pro Forma'!O108*($L$31*(1+$L$32)^(O$24-$L$30))*$L$36*$L$35</f>
        <v>9690.8291723949806</v>
      </c>
      <c r="P25" s="714">
        <f>'B.1 - Dev Pro Forma'!P108*($L$31*(1+$L$32)^(P$24-$L$30))*$L$36*$L$35</f>
        <v>9897.9875640397386</v>
      </c>
      <c r="Q25" s="714">
        <f>'B.1 - Dev Pro Forma'!Q108*($L$31*(1+$L$32)^(Q$24-$L$30))*$L$36*$L$35</f>
        <v>10145.43725314073</v>
      </c>
      <c r="R25" s="714">
        <f>'B.1 - Dev Pro Forma'!R108*($L$31*(1+$L$32)^(R$24-$L$30))*$L$36*$L$35</f>
        <v>10399.073184469249</v>
      </c>
      <c r="S25" s="714">
        <f>'B.1 - Dev Pro Forma'!S108*($L$31*(1+$L$32)^(S$24-$L$30))*$L$36*$L$35</f>
        <v>10659.05001408098</v>
      </c>
      <c r="T25" s="714">
        <f>'B.1 - Dev Pro Forma'!T108*($L$31*(1+$L$32)^(T$24-$L$30))*$L$36*$L$35</f>
        <v>10925.526264433003</v>
      </c>
      <c r="U25" s="714">
        <f>'B.1 - Dev Pro Forma'!U108*($L$31*(1+$L$32)^(U$24-$L$30))*$L$36*$L$35</f>
        <v>11198.66442104383</v>
      </c>
      <c r="V25" s="714">
        <f>'B.1 - Dev Pro Forma'!V108*($L$31*(1+$L$32)^(V$24-$L$30))*$L$36*$L$35</f>
        <v>11478.631031569925</v>
      </c>
      <c r="W25" s="714">
        <f>'B.1 - Dev Pro Forma'!W108*($L$31*(1+$L$32)^(W$24-$L$30))*$L$36*$L$35</f>
        <v>11765.59680735917</v>
      </c>
      <c r="X25" s="714">
        <f>'B.1 - Dev Pro Forma'!X108*($L$31*(1+$L$32)^(X$24-$L$30))*$L$36*$L$35</f>
        <v>12059.73672754315</v>
      </c>
      <c r="Y25" s="715">
        <f>SUM(E25:X25)</f>
        <v>153480.81481161423</v>
      </c>
      <c r="Z25" s="820">
        <f>NPV($L$19,F25:X25)</f>
        <v>96179.065186800945</v>
      </c>
    </row>
    <row r="26" spans="2:29" s="891" customFormat="1" ht="12.75" customHeight="1" x14ac:dyDescent="0.15">
      <c r="B26" s="1085"/>
      <c r="C26" s="334" t="str">
        <f>C8</f>
        <v>Office</v>
      </c>
      <c r="D26" s="1282"/>
      <c r="E26" s="714">
        <v>0</v>
      </c>
      <c r="F26" s="714">
        <f>'B.1 - Dev Pro Forma'!F113*($L$31*(1+$L$32)^(F$24-$L$30))*$L$36*$L$35</f>
        <v>1460.5144844069441</v>
      </c>
      <c r="G26" s="714">
        <f>'B.1 - Dev Pro Forma'!G113*($L$31*(1+$L$32)^(G$24-$L$30))*$L$36*$L$35</f>
        <v>3163.9338475057566</v>
      </c>
      <c r="H26" s="714">
        <f>'B.1 - Dev Pro Forma'!H113*($L$31*(1+$L$32)^(H$24-$L$30))*$L$36*$L$35</f>
        <v>5717.8758189134869</v>
      </c>
      <c r="I26" s="714">
        <f>'B.1 - Dev Pro Forma'!I113*($L$31*(1+$L$32)^(I$24-$L$30))*$L$36*$L$35</f>
        <v>8351.1905084968494</v>
      </c>
      <c r="J26" s="714">
        <f>'B.1 - Dev Pro Forma'!J113*($L$31*(1+$L$32)^(J$24-$L$30))*$L$36*$L$35</f>
        <v>11501.733025513253</v>
      </c>
      <c r="K26" s="714">
        <f>'B.1 - Dev Pro Forma'!K113*($L$31*(1+$L$32)^(K$24-$L$30))*$L$36*$L$35</f>
        <v>14800.957082370414</v>
      </c>
      <c r="L26" s="714">
        <f>'B.1 - Dev Pro Forma'!L113*($L$31*(1+$L$32)^(L$24-$L$30))*$L$36*$L$35</f>
        <v>18242.024855040283</v>
      </c>
      <c r="M26" s="714">
        <f>'B.1 - Dev Pro Forma'!M113*($L$31*(1+$L$32)^(M$24-$L$30))*$L$36*$L$35</f>
        <v>21856.780169158119</v>
      </c>
      <c r="N26" s="714">
        <f>'B.1 - Dev Pro Forma'!N113*($L$31*(1+$L$32)^(N$24-$L$30))*$L$36*$L$35</f>
        <v>26053.669752785147</v>
      </c>
      <c r="O26" s="714">
        <f>'B.1 - Dev Pro Forma'!O113*($L$31*(1+$L$32)^(O$24-$L$30))*$L$36*$L$35</f>
        <v>31740.683420447429</v>
      </c>
      <c r="P26" s="714">
        <f>'B.1 - Dev Pro Forma'!P113*($L$31*(1+$L$32)^(P$24-$L$30))*$L$36*$L$35</f>
        <v>37548.657064862273</v>
      </c>
      <c r="Q26" s="714">
        <f>'B.1 - Dev Pro Forma'!Q113*($L$31*(1+$L$32)^(Q$24-$L$30))*$L$36*$L$35</f>
        <v>43699.279835090412</v>
      </c>
      <c r="R26" s="714">
        <f>'B.1 - Dev Pro Forma'!R113*($L$31*(1+$L$32)^(R$24-$L$30))*$L$36*$L$35</f>
        <v>44791.761830967676</v>
      </c>
      <c r="S26" s="714">
        <f>'B.1 - Dev Pro Forma'!S113*($L$31*(1+$L$32)^(S$24-$L$30))*$L$36*$L$35</f>
        <v>45911.555876741862</v>
      </c>
      <c r="T26" s="714">
        <f>'B.1 - Dev Pro Forma'!T113*($L$31*(1+$L$32)^(T$24-$L$30))*$L$36*$L$35</f>
        <v>47059.344773660407</v>
      </c>
      <c r="U26" s="714">
        <f>'B.1 - Dev Pro Forma'!U113*($L$31*(1+$L$32)^(U$24-$L$30))*$L$36*$L$35</f>
        <v>48235.828393001924</v>
      </c>
      <c r="V26" s="714">
        <f>'B.1 - Dev Pro Forma'!V113*($L$31*(1+$L$32)^(V$24-$L$30))*$L$36*$L$35</f>
        <v>49441.724102826964</v>
      </c>
      <c r="W26" s="714">
        <f>'B.1 - Dev Pro Forma'!W113*($L$31*(1+$L$32)^(W$24-$L$30))*$L$36*$L$35</f>
        <v>50677.767205397642</v>
      </c>
      <c r="X26" s="714">
        <f>'B.1 - Dev Pro Forma'!X113*($L$31*(1+$L$32)^(X$24-$L$30))*$L$36*$L$35</f>
        <v>51944.711385532573</v>
      </c>
      <c r="Y26" s="715">
        <f t="shared" ref="Y26:Y27" si="15">SUM(E26:X26)</f>
        <v>562199.99343271949</v>
      </c>
      <c r="Z26" s="820">
        <f t="shared" ref="Z26:Z27" si="16">NPV($L$19,F26:X26)</f>
        <v>339319.14629159181</v>
      </c>
    </row>
    <row r="27" spans="2:29" s="891" customFormat="1" ht="12.75" customHeight="1" x14ac:dyDescent="0.15">
      <c r="B27" s="1085"/>
      <c r="C27" s="334" t="str">
        <f>C9</f>
        <v>Residential</v>
      </c>
      <c r="D27" s="895"/>
      <c r="E27" s="714">
        <f>'B.1 - Dev Pro Forma'!E118*($L$31*(1+$L$32)^(E$24-$L$30))*$L$36*$L$35</f>
        <v>10579.209383184583</v>
      </c>
      <c r="F27" s="714">
        <f>'B.1 - Dev Pro Forma'!F118*($L$31*(1+$L$32)^(F$24-$L$30))*$L$36*$L$35</f>
        <v>20898.965188572463</v>
      </c>
      <c r="G27" s="714">
        <f>'B.1 - Dev Pro Forma'!G118*($L$31*(1+$L$32)^(G$24-$L$30))*$L$36*$L$35</f>
        <v>22023.742411596475</v>
      </c>
      <c r="H27" s="714">
        <f>'B.1 - Dev Pro Forma'!H118*($L$31*(1+$L$32)^(H$24-$L$30))*$L$36*$L$35</f>
        <v>24204.049881848237</v>
      </c>
      <c r="I27" s="714">
        <f>'B.1 - Dev Pro Forma'!I118*($L$31*(1+$L$32)^(I$24-$L$30))*$L$36*$L$35</f>
        <v>26161.693869542298</v>
      </c>
      <c r="J27" s="714">
        <f>'B.1 - Dev Pro Forma'!J118*($L$31*(1+$L$32)^(J$24-$L$30))*$L$36*$L$35</f>
        <v>28224.179164379817</v>
      </c>
      <c r="K27" s="714">
        <f>'B.1 - Dev Pro Forma'!K118*($L$31*(1+$L$32)^(K$24-$L$30))*$L$36*$L$35</f>
        <v>28816.589618947906</v>
      </c>
      <c r="L27" s="714">
        <f>'B.1 - Dev Pro Forma'!L118*($L$31*(1+$L$32)^(L$24-$L$30))*$L$36*$L$35</f>
        <v>29537.004359421597</v>
      </c>
      <c r="M27" s="714">
        <f>'B.1 - Dev Pro Forma'!M118*($L$31*(1+$L$32)^(M$24-$L$30))*$L$36*$L$35</f>
        <v>30275.429468407136</v>
      </c>
      <c r="N27" s="714">
        <f>'B.1 - Dev Pro Forma'!N118*($L$31*(1+$L$32)^(N$24-$L$30))*$L$36*$L$35</f>
        <v>31032.315205117317</v>
      </c>
      <c r="O27" s="714">
        <f>'B.1 - Dev Pro Forma'!O118*($L$31*(1+$L$32)^(O$24-$L$30))*$L$36*$L$35</f>
        <v>31808.12308524525</v>
      </c>
      <c r="P27" s="714">
        <f>'B.1 - Dev Pro Forma'!P118*($L$31*(1+$L$32)^(P$24-$L$30))*$L$36*$L$35</f>
        <v>32603.326162376376</v>
      </c>
      <c r="Q27" s="714">
        <f>'B.1 - Dev Pro Forma'!Q118*($L$31*(1+$L$32)^(Q$24-$L$30))*$L$36*$L$35</f>
        <v>33418.409316435784</v>
      </c>
      <c r="R27" s="714">
        <f>'B.1 - Dev Pro Forma'!R118*($L$31*(1+$L$32)^(R$24-$L$30))*$L$36*$L$35</f>
        <v>34253.86954934668</v>
      </c>
      <c r="S27" s="714">
        <f>'B.1 - Dev Pro Forma'!S118*($L$31*(1+$L$32)^(S$24-$L$30))*$L$36*$L$35</f>
        <v>35110.216288080344</v>
      </c>
      <c r="T27" s="714">
        <f>'B.1 - Dev Pro Forma'!T118*($L$31*(1+$L$32)^(T$24-$L$30))*$L$36*$L$35</f>
        <v>35987.971695282351</v>
      </c>
      <c r="U27" s="714">
        <f>'B.1 - Dev Pro Forma'!U118*($L$31*(1+$L$32)^(U$24-$L$30))*$L$36*$L$35</f>
        <v>36887.670987664409</v>
      </c>
      <c r="V27" s="714">
        <f>'B.1 - Dev Pro Forma'!V118*($L$31*(1+$L$32)^(V$24-$L$30))*$L$36*$L$35</f>
        <v>37809.862762356017</v>
      </c>
      <c r="W27" s="714">
        <f>'B.1 - Dev Pro Forma'!W118*($L$31*(1+$L$32)^(W$24-$L$30))*$L$36*$L$35</f>
        <v>38755.109331414918</v>
      </c>
      <c r="X27" s="714">
        <f>'B.1 - Dev Pro Forma'!X118*($L$31*(1+$L$32)^(X$24-$L$30))*$L$36*$L$35</f>
        <v>39723.987064700283</v>
      </c>
      <c r="Y27" s="715">
        <f t="shared" si="15"/>
        <v>608111.72479392029</v>
      </c>
      <c r="Z27" s="820">
        <f t="shared" si="16"/>
        <v>398141.29448091442</v>
      </c>
    </row>
    <row r="28" spans="2:29" ht="12.75" customHeight="1" thickBot="1" x14ac:dyDescent="0.2">
      <c r="B28" s="565"/>
      <c r="C28" s="559" t="s">
        <v>13</v>
      </c>
      <c r="D28" s="561"/>
      <c r="E28" s="716">
        <f>SUM(E25:E27)</f>
        <v>11806.039903103321</v>
      </c>
      <c r="F28" s="716">
        <f t="shared" ref="F28:X28" si="17">SUM(F25:F27)</f>
        <v>24793.145438424042</v>
      </c>
      <c r="G28" s="716">
        <f t="shared" si="17"/>
        <v>28058.501671353399</v>
      </c>
      <c r="H28" s="716">
        <f t="shared" si="17"/>
        <v>33365.721271477181</v>
      </c>
      <c r="I28" s="716">
        <f t="shared" si="17"/>
        <v>38451.190238053176</v>
      </c>
      <c r="J28" s="716">
        <f t="shared" si="17"/>
        <v>44193.160074439598</v>
      </c>
      <c r="K28" s="716">
        <f t="shared" si="17"/>
        <v>48894.918510004194</v>
      </c>
      <c r="L28" s="716">
        <f t="shared" si="17"/>
        <v>53896.286602329194</v>
      </c>
      <c r="M28" s="716">
        <f t="shared" si="17"/>
        <v>59314.895258720469</v>
      </c>
      <c r="N28" s="716">
        <f t="shared" si="17"/>
        <v>65388.281498842996</v>
      </c>
      <c r="O28" s="716">
        <f t="shared" si="17"/>
        <v>73239.635678087652</v>
      </c>
      <c r="P28" s="716">
        <f t="shared" si="17"/>
        <v>80049.970791278378</v>
      </c>
      <c r="Q28" s="716">
        <f t="shared" si="17"/>
        <v>87263.126404666924</v>
      </c>
      <c r="R28" s="716">
        <f t="shared" si="17"/>
        <v>89444.704564783606</v>
      </c>
      <c r="S28" s="716">
        <f t="shared" si="17"/>
        <v>91680.822178903181</v>
      </c>
      <c r="T28" s="716">
        <f t="shared" si="17"/>
        <v>93972.842733375757</v>
      </c>
      <c r="U28" s="716">
        <f t="shared" si="17"/>
        <v>96322.163801710165</v>
      </c>
      <c r="V28" s="716">
        <f t="shared" si="17"/>
        <v>98730.217896752903</v>
      </c>
      <c r="W28" s="716">
        <f t="shared" si="17"/>
        <v>101198.47334417174</v>
      </c>
      <c r="X28" s="716">
        <f t="shared" si="17"/>
        <v>103728.435177776</v>
      </c>
      <c r="Y28" s="717">
        <f>SUM(E28:X28)</f>
        <v>1323792.5330382537</v>
      </c>
      <c r="Z28" s="900">
        <f>NPV($L$19,F28:X28)</f>
        <v>833639.50595930731</v>
      </c>
    </row>
    <row r="29" spans="2:29" x14ac:dyDescent="0.15">
      <c r="D29" s="237"/>
      <c r="E29" s="237"/>
      <c r="H29" s="27"/>
      <c r="M29" s="17"/>
      <c r="N29" s="17"/>
      <c r="O29" s="17"/>
      <c r="P29" s="17"/>
      <c r="Q29" s="17"/>
      <c r="R29" s="17"/>
      <c r="S29" s="17"/>
      <c r="T29" s="889"/>
      <c r="U29" s="889"/>
      <c r="V29" s="889"/>
      <c r="W29" s="889"/>
      <c r="X29" s="889"/>
    </row>
    <row r="30" spans="2:29" ht="15" thickBot="1" x14ac:dyDescent="0.2">
      <c r="C30" s="241"/>
      <c r="D30" s="241"/>
      <c r="E30" s="241"/>
      <c r="F30" s="241"/>
      <c r="G30" s="1317" t="s">
        <v>63</v>
      </c>
      <c r="H30" s="1318"/>
      <c r="I30" s="1318"/>
      <c r="J30" s="253"/>
      <c r="K30" s="253"/>
      <c r="L30" s="242">
        <v>2018</v>
      </c>
      <c r="O30" s="17"/>
      <c r="P30" s="17"/>
      <c r="Q30" s="17"/>
      <c r="Y30" s="17"/>
      <c r="Z30" s="17"/>
    </row>
    <row r="31" spans="2:29" ht="19" thickBot="1" x14ac:dyDescent="0.25">
      <c r="C31" s="243" t="s">
        <v>1469</v>
      </c>
      <c r="D31" s="1321">
        <f>Y28</f>
        <v>1323792.5330382537</v>
      </c>
      <c r="E31" s="1322">
        <f>Z28</f>
        <v>833639.50595930731</v>
      </c>
      <c r="F31" s="241"/>
      <c r="G31" s="315" t="str">
        <f>G13</f>
        <v xml:space="preserve">Cost per $ Assessed (2018) </v>
      </c>
      <c r="H31" s="316"/>
      <c r="I31" s="317"/>
      <c r="J31" s="317"/>
      <c r="K31" s="317"/>
      <c r="L31" s="318">
        <f>K34/K33</f>
        <v>2.0794033928112836E-3</v>
      </c>
      <c r="O31" s="17"/>
      <c r="P31" s="17"/>
      <c r="Q31" s="17"/>
      <c r="Y31" s="17"/>
      <c r="Z31" s="17"/>
      <c r="AA31" s="17"/>
      <c r="AB31" s="17"/>
      <c r="AC31" s="17"/>
    </row>
    <row r="32" spans="2:29" x14ac:dyDescent="0.15">
      <c r="F32" s="27"/>
      <c r="G32" s="335" t="s">
        <v>74</v>
      </c>
      <c r="H32" s="254"/>
      <c r="I32" s="254"/>
      <c r="J32" s="254"/>
      <c r="K32" s="339"/>
      <c r="L32" s="336">
        <f>L14</f>
        <v>2.5000000000000001E-2</v>
      </c>
      <c r="O32" s="17"/>
      <c r="P32" s="17"/>
      <c r="Q32" s="17"/>
      <c r="Y32" s="17"/>
      <c r="Z32" s="17"/>
      <c r="AA32" s="17"/>
      <c r="AB32" s="17"/>
      <c r="AC32" s="17"/>
    </row>
    <row r="33" spans="2:29" x14ac:dyDescent="0.15">
      <c r="F33" s="27"/>
      <c r="G33" s="335" t="str">
        <f>G15</f>
        <v>Assessed Value (2018) 1</v>
      </c>
      <c r="H33" s="254"/>
      <c r="I33" s="254"/>
      <c r="J33" s="254"/>
      <c r="K33" s="1323">
        <f>L15</f>
        <v>5102419779</v>
      </c>
      <c r="L33" s="1324"/>
      <c r="O33" s="17"/>
      <c r="P33" s="17"/>
      <c r="Q33" s="17"/>
      <c r="Y33" s="17"/>
      <c r="Z33" s="17"/>
      <c r="AA33" s="17"/>
      <c r="AB33" s="17"/>
      <c r="AC33" s="17"/>
    </row>
    <row r="34" spans="2:29" ht="16" x14ac:dyDescent="0.15">
      <c r="F34" s="27"/>
      <c r="G34" s="335" t="s">
        <v>1464</v>
      </c>
      <c r="H34" s="254"/>
      <c r="I34" s="254"/>
      <c r="J34" s="254"/>
      <c r="K34" s="1323">
        <v>10609989</v>
      </c>
      <c r="L34" s="1324"/>
      <c r="P34" s="563"/>
      <c r="Q34" s="563"/>
    </row>
    <row r="35" spans="2:29" x14ac:dyDescent="0.15">
      <c r="F35" s="245"/>
      <c r="G35" s="335" t="str">
        <f>G17</f>
        <v>Variable to Fixed Cost Ratio</v>
      </c>
      <c r="H35" s="254"/>
      <c r="I35" s="254"/>
      <c r="J35" s="254"/>
      <c r="K35" s="338"/>
      <c r="L35" s="337">
        <v>0.25</v>
      </c>
    </row>
    <row r="36" spans="2:29" x14ac:dyDescent="0.15">
      <c r="F36" s="245"/>
      <c r="G36" s="291" t="s">
        <v>1223</v>
      </c>
      <c r="H36" s="254"/>
      <c r="I36" s="254"/>
      <c r="J36" s="254"/>
      <c r="K36" s="339"/>
      <c r="L36" s="337">
        <v>0.65</v>
      </c>
    </row>
    <row r="37" spans="2:29" x14ac:dyDescent="0.15">
      <c r="F37" s="27"/>
      <c r="G37" s="322" t="s">
        <v>14</v>
      </c>
      <c r="H37" s="323"/>
      <c r="I37" s="324"/>
      <c r="J37" s="324"/>
      <c r="K37" s="324"/>
      <c r="L37" s="325">
        <v>0.04</v>
      </c>
    </row>
    <row r="38" spans="2:29" x14ac:dyDescent="0.15">
      <c r="B38" s="449"/>
      <c r="C38" s="449"/>
      <c r="D38" s="246"/>
      <c r="E38" s="246"/>
      <c r="F38" s="246"/>
      <c r="G38" s="246"/>
      <c r="H38" s="449"/>
      <c r="I38" s="449"/>
      <c r="J38" s="449"/>
      <c r="K38" s="449"/>
      <c r="L38" s="449"/>
      <c r="M38" s="449"/>
      <c r="N38" s="713"/>
      <c r="O38" s="449"/>
    </row>
    <row r="39" spans="2:29" x14ac:dyDescent="0.15">
      <c r="B39" s="247" t="str">
        <f>B21</f>
        <v>Note 1: Source, Utah State Tax Commission , 2017 List of Final Values, Total Real Property, Personal Property, Centrally Assessed w/out Motor Vehicle (http://propertytax.utah.gov/reports-and-statistics/entity-year-end-value-reports.html)</v>
      </c>
      <c r="C39" s="241"/>
      <c r="D39" s="6"/>
      <c r="E39" s="6"/>
      <c r="F39" s="6"/>
      <c r="G39" s="6"/>
      <c r="H39" s="241"/>
      <c r="I39" s="241"/>
      <c r="J39" s="241"/>
      <c r="K39" s="241"/>
      <c r="L39" s="241"/>
      <c r="M39" s="241"/>
    </row>
    <row r="40" spans="2:29" x14ac:dyDescent="0.15">
      <c r="B40" s="248" t="str">
        <f>B22</f>
        <v>Note 2: Source, Utah State Auditors Office - Millcreek Budget</v>
      </c>
      <c r="C40" s="241"/>
      <c r="D40" s="6"/>
      <c r="E40" s="6"/>
      <c r="F40" s="6"/>
      <c r="G40" s="6"/>
      <c r="H40" s="241"/>
      <c r="I40" s="241"/>
      <c r="J40" s="241"/>
      <c r="K40" s="241"/>
      <c r="L40" s="241"/>
      <c r="M40" s="241"/>
    </row>
    <row r="41" spans="2:29" ht="14" thickBot="1" x14ac:dyDescent="0.2"/>
    <row r="42" spans="2:29" s="239" customFormat="1" ht="26.25" customHeight="1" x14ac:dyDescent="0.2">
      <c r="B42" s="564"/>
      <c r="C42" s="437" t="s">
        <v>1455</v>
      </c>
      <c r="D42" s="439" t="s">
        <v>61</v>
      </c>
      <c r="E42" s="440">
        <v>2020</v>
      </c>
      <c r="F42" s="441">
        <f t="shared" ref="F42:S42" si="18">E42+1</f>
        <v>2021</v>
      </c>
      <c r="G42" s="442">
        <f t="shared" si="18"/>
        <v>2022</v>
      </c>
      <c r="H42" s="442">
        <f t="shared" si="18"/>
        <v>2023</v>
      </c>
      <c r="I42" s="442">
        <f t="shared" si="18"/>
        <v>2024</v>
      </c>
      <c r="J42" s="442">
        <f t="shared" si="18"/>
        <v>2025</v>
      </c>
      <c r="K42" s="442">
        <f t="shared" si="18"/>
        <v>2026</v>
      </c>
      <c r="L42" s="442">
        <f t="shared" si="18"/>
        <v>2027</v>
      </c>
      <c r="M42" s="442">
        <f t="shared" si="18"/>
        <v>2028</v>
      </c>
      <c r="N42" s="442">
        <f t="shared" si="18"/>
        <v>2029</v>
      </c>
      <c r="O42" s="442">
        <f t="shared" si="18"/>
        <v>2030</v>
      </c>
      <c r="P42" s="442">
        <f t="shared" si="18"/>
        <v>2031</v>
      </c>
      <c r="Q42" s="442">
        <f t="shared" si="18"/>
        <v>2032</v>
      </c>
      <c r="R42" s="442">
        <f t="shared" si="18"/>
        <v>2033</v>
      </c>
      <c r="S42" s="442">
        <f t="shared" si="18"/>
        <v>2034</v>
      </c>
      <c r="T42" s="893">
        <f t="shared" ref="T42" si="19">S42+1</f>
        <v>2035</v>
      </c>
      <c r="U42" s="893">
        <f t="shared" ref="U42" si="20">T42+1</f>
        <v>2036</v>
      </c>
      <c r="V42" s="893">
        <f t="shared" ref="V42" si="21">U42+1</f>
        <v>2037</v>
      </c>
      <c r="W42" s="893">
        <f t="shared" ref="W42" si="22">V42+1</f>
        <v>2038</v>
      </c>
      <c r="X42" s="893">
        <f t="shared" ref="X42" si="23">W42+1</f>
        <v>2039</v>
      </c>
      <c r="Y42" s="442" t="s">
        <v>13</v>
      </c>
      <c r="Z42" s="893" t="s">
        <v>1388</v>
      </c>
    </row>
    <row r="43" spans="2:29" ht="12.75" customHeight="1" x14ac:dyDescent="0.15">
      <c r="B43" s="1085"/>
      <c r="C43" s="334" t="str">
        <f>C25</f>
        <v xml:space="preserve">Commercial </v>
      </c>
      <c r="D43" s="1282"/>
      <c r="E43" s="714">
        <f>'B.1 - Dev Pro Forma'!E108*($L$49*(1+$L$50)^(E$42-$L$48))*$L$54*$L$53</f>
        <v>680.77023322282128</v>
      </c>
      <c r="F43" s="714">
        <f>'B.1 - Dev Pro Forma'!F108*($L$49*(1+$L$50)^(F$42-$L$48))*$L$54*$L$53</f>
        <v>1350.4450564515455</v>
      </c>
      <c r="G43" s="714">
        <f>'B.1 - Dev Pro Forma'!G108*($L$49*(1+$L$50)^(G$42-$L$48))*$L$54*$L$53</f>
        <v>1593.0256491904706</v>
      </c>
      <c r="H43" s="714">
        <f>'B.1 - Dev Pro Forma'!H108*($L$49*(1+$L$50)^(H$42-$L$48))*$L$54*$L$53</f>
        <v>1910.9677137824799</v>
      </c>
      <c r="I43" s="714">
        <f>'B.1 - Dev Pro Forma'!I108*($L$49*(1+$L$50)^(I$42-$L$48))*$L$54*$L$53</f>
        <v>2185.3722704927027</v>
      </c>
      <c r="J43" s="714">
        <f>'B.1 - Dev Pro Forma'!J108*($L$49*(1+$L$50)^(J$42-$L$48))*$L$54*$L$53</f>
        <v>2478.883052590129</v>
      </c>
      <c r="K43" s="714">
        <f>'B.1 - Dev Pro Forma'!K108*($L$49*(1+$L$50)^(K$42-$L$48))*$L$54*$L$53</f>
        <v>2928.4221240604584</v>
      </c>
      <c r="L43" s="714">
        <f>'B.1 - Dev Pro Forma'!L108*($L$49*(1+$L$50)^(L$42-$L$48))*$L$54*$L$53</f>
        <v>3394.4759858911075</v>
      </c>
      <c r="M43" s="714">
        <f>'B.1 - Dev Pro Forma'!M108*($L$49*(1+$L$50)^(M$42-$L$48))*$L$54*$L$53</f>
        <v>3985.6838300729005</v>
      </c>
      <c r="N43" s="714">
        <f>'B.1 - Dev Pro Forma'!N108*($L$49*(1+$L$50)^(N$42-$L$48))*$L$54*$L$53</f>
        <v>4606.9577343376495</v>
      </c>
      <c r="O43" s="714">
        <f>'B.1 - Dev Pro Forma'!O108*($L$49*(1+$L$50)^(O$42-$L$48))*$L$54*$L$53</f>
        <v>5377.4567299245509</v>
      </c>
      <c r="P43" s="714">
        <f>'B.1 - Dev Pro Forma'!P108*($L$49*(1+$L$50)^(P$42-$L$48))*$L$54*$L$53</f>
        <v>5492.4092553992241</v>
      </c>
      <c r="Q43" s="714">
        <f>'B.1 - Dev Pro Forma'!Q108*($L$49*(1+$L$50)^(Q$42-$L$48))*$L$54*$L$53</f>
        <v>5629.7194867842036</v>
      </c>
      <c r="R43" s="714">
        <f>'B.1 - Dev Pro Forma'!R108*($L$49*(1+$L$50)^(R$42-$L$48))*$L$54*$L$53</f>
        <v>5770.4624739538103</v>
      </c>
      <c r="S43" s="714">
        <f>'B.1 - Dev Pro Forma'!S108*($L$49*(1+$L$50)^(S$42-$L$48))*$L$54*$L$53</f>
        <v>5914.7240358026547</v>
      </c>
      <c r="T43" s="714">
        <f>'B.1 - Dev Pro Forma'!T108*($L$49*(1+$L$50)^(T$42-$L$48))*$L$54*$L$53</f>
        <v>6062.59213669772</v>
      </c>
      <c r="U43" s="714">
        <f>'B.1 - Dev Pro Forma'!U108*($L$49*(1+$L$50)^(U$42-$L$48))*$L$54*$L$53</f>
        <v>6214.1569401151628</v>
      </c>
      <c r="V43" s="714">
        <f>'B.1 - Dev Pro Forma'!V108*($L$49*(1+$L$50)^(V$42-$L$48))*$L$54*$L$53</f>
        <v>6369.510863618043</v>
      </c>
      <c r="W43" s="714">
        <f>'B.1 - Dev Pro Forma'!W108*($L$49*(1+$L$50)^(W$42-$L$48))*$L$54*$L$53</f>
        <v>6528.7486352084925</v>
      </c>
      <c r="X43" s="714">
        <f>'B.1 - Dev Pro Forma'!X108*($L$49*(1+$L$50)^(X$42-$L$48))*$L$54*$L$53</f>
        <v>6691.9673510887033</v>
      </c>
      <c r="Y43" s="715">
        <f>SUM(E43:X43)</f>
        <v>85166.751558684831</v>
      </c>
      <c r="Z43" s="820">
        <f>NPV($L$19,F43:X43)</f>
        <v>53369.918318227341</v>
      </c>
    </row>
    <row r="44" spans="2:29" s="891" customFormat="1" ht="12.75" customHeight="1" x14ac:dyDescent="0.15">
      <c r="B44" s="1085"/>
      <c r="C44" s="334" t="str">
        <f>C26</f>
        <v>Office</v>
      </c>
      <c r="D44" s="1283"/>
      <c r="E44" s="714">
        <v>0</v>
      </c>
      <c r="F44" s="714">
        <f>'B.1 - Dev Pro Forma'!F113*($L$49*(1+$L$50)^(F$42-$L$48))*$L$54*$L$53</f>
        <v>810.4418418290428</v>
      </c>
      <c r="G44" s="714">
        <f>'B.1 - Dev Pro Forma'!G113*($L$49*(1+$L$50)^(G$42-$L$48))*$L$54*$L$53</f>
        <v>1755.6719924205524</v>
      </c>
      <c r="H44" s="714">
        <f>'B.1 - Dev Pro Forma'!H113*($L$49*(1+$L$50)^(H$42-$L$48))*$L$54*$L$53</f>
        <v>3172.8585094530399</v>
      </c>
      <c r="I44" s="714">
        <f>'B.1 - Dev Pro Forma'!I113*($L$49*(1+$L$50)^(I$42-$L$48))*$L$54*$L$53</f>
        <v>4634.0890757544803</v>
      </c>
      <c r="J44" s="714">
        <f>'B.1 - Dev Pro Forma'!J113*($L$49*(1+$L$50)^(J$42-$L$48))*$L$54*$L$53</f>
        <v>6382.3301972989102</v>
      </c>
      <c r="K44" s="714">
        <f>'B.1 - Dev Pro Forma'!K113*($L$49*(1+$L$50)^(K$42-$L$48))*$L$54*$L$53</f>
        <v>8213.0749449839968</v>
      </c>
      <c r="L44" s="714">
        <f>'B.1 - Dev Pro Forma'!L113*($L$49*(1+$L$50)^(L$42-$L$48))*$L$54*$L$53</f>
        <v>10122.528999233615</v>
      </c>
      <c r="M44" s="714">
        <f>'B.1 - Dev Pro Forma'!M113*($L$49*(1+$L$50)^(M$42-$L$48))*$L$54*$L$53</f>
        <v>12128.362550226813</v>
      </c>
      <c r="N44" s="714">
        <f>'B.1 - Dev Pro Forma'!N113*($L$49*(1+$L$50)^(N$42-$L$48))*$L$54*$L$53</f>
        <v>14457.223345803895</v>
      </c>
      <c r="O44" s="714">
        <f>'B.1 - Dev Pro Forma'!O113*($L$49*(1+$L$50)^(O$42-$L$48))*$L$54*$L$53</f>
        <v>17612.956397776121</v>
      </c>
      <c r="P44" s="714">
        <f>'B.1 - Dev Pro Forma'!P113*($L$49*(1+$L$50)^(P$42-$L$48))*$L$54*$L$53</f>
        <v>20835.810335842631</v>
      </c>
      <c r="Q44" s="714">
        <f>'B.1 - Dev Pro Forma'!Q113*($L$49*(1+$L$50)^(Q$42-$L$48))*$L$54*$L$53</f>
        <v>24248.800826192633</v>
      </c>
      <c r="R44" s="714">
        <f>'B.1 - Dev Pro Forma'!R113*($L$49*(1+$L$50)^(R$42-$L$48))*$L$54*$L$53</f>
        <v>24855.020846847456</v>
      </c>
      <c r="S44" s="714">
        <f>'B.1 - Dev Pro Forma'!S113*($L$49*(1+$L$50)^(S$42-$L$48))*$L$54*$L$53</f>
        <v>25476.396368018646</v>
      </c>
      <c r="T44" s="714">
        <f>'B.1 - Dev Pro Forma'!T113*($L$49*(1+$L$50)^(T$42-$L$48))*$L$54*$L$53</f>
        <v>26113.306277219104</v>
      </c>
      <c r="U44" s="714">
        <f>'B.1 - Dev Pro Forma'!U113*($L$49*(1+$L$50)^(U$42-$L$48))*$L$54*$L$53</f>
        <v>26766.138934149581</v>
      </c>
      <c r="V44" s="714">
        <f>'B.1 - Dev Pro Forma'!V113*($L$49*(1+$L$50)^(V$42-$L$48))*$L$54*$L$53</f>
        <v>27435.292407503322</v>
      </c>
      <c r="W44" s="714">
        <f>'B.1 - Dev Pro Forma'!W113*($L$49*(1+$L$50)^(W$42-$L$48))*$L$54*$L$53</f>
        <v>28121.174717690901</v>
      </c>
      <c r="X44" s="714">
        <f>'B.1 - Dev Pro Forma'!X113*($L$49*(1+$L$50)^(X$42-$L$48))*$L$54*$L$53</f>
        <v>28824.20408563317</v>
      </c>
      <c r="Y44" s="715">
        <f t="shared" ref="Y44:Y45" si="24">SUM(E44:X44)</f>
        <v>311965.68265387788</v>
      </c>
      <c r="Z44" s="820">
        <f t="shared" ref="Z44:Z45" si="25">NPV($L$19,F44:X44)</f>
        <v>188288.74127878423</v>
      </c>
    </row>
    <row r="45" spans="2:29" s="891" customFormat="1" ht="12.75" customHeight="1" x14ac:dyDescent="0.15">
      <c r="B45" s="1085"/>
      <c r="C45" s="334" t="str">
        <f>C27</f>
        <v>Residential</v>
      </c>
      <c r="D45" s="895"/>
      <c r="E45" s="714">
        <f>'B.1 - Dev Pro Forma'!E118*($L$49*(1+$L$50)^(E$42-$L$48))*$L$54*$L$53</f>
        <v>5870.4203410106493</v>
      </c>
      <c r="F45" s="714">
        <f>'B.1 - Dev Pro Forma'!F118*($L$49*(1+$L$50)^(F$42-$L$48))*$L$54*$L$53</f>
        <v>11596.869473448121</v>
      </c>
      <c r="G45" s="714">
        <f>'B.1 - Dev Pro Forma'!G118*($L$49*(1+$L$50)^(G$42-$L$48))*$L$54*$L$53</f>
        <v>12221.010167708399</v>
      </c>
      <c r="H45" s="714">
        <f>'B.1 - Dev Pro Forma'!H118*($L$49*(1+$L$50)^(H$42-$L$48))*$L$54*$L$53</f>
        <v>13430.866297729572</v>
      </c>
      <c r="I45" s="714">
        <f>'B.1 - Dev Pro Forma'!I118*($L$49*(1+$L$50)^(I$42-$L$48))*$L$54*$L$53</f>
        <v>14517.166102333402</v>
      </c>
      <c r="J45" s="714">
        <f>'B.1 - Dev Pro Forma'!J118*($L$49*(1+$L$50)^(J$42-$L$48))*$L$54*$L$53</f>
        <v>15661.642517281231</v>
      </c>
      <c r="K45" s="714">
        <f>'B.1 - Dev Pro Forma'!K118*($L$49*(1+$L$50)^(K$42-$L$48))*$L$54*$L$53</f>
        <v>15990.372033520091</v>
      </c>
      <c r="L45" s="714">
        <f>'B.1 - Dev Pro Forma'!L118*($L$49*(1+$L$50)^(L$42-$L$48))*$L$54*$L$53</f>
        <v>16390.131334358088</v>
      </c>
      <c r="M45" s="714">
        <f>'B.1 - Dev Pro Forma'!M118*($L$49*(1+$L$50)^(M$42-$L$48))*$L$54*$L$53</f>
        <v>16799.884617717042</v>
      </c>
      <c r="N45" s="714">
        <f>'B.1 - Dev Pro Forma'!N118*($L$49*(1+$L$50)^(N$42-$L$48))*$L$54*$L$53</f>
        <v>17219.881733159968</v>
      </c>
      <c r="O45" s="714">
        <f>'B.1 - Dev Pro Forma'!O118*($L$49*(1+$L$50)^(O$42-$L$48))*$L$54*$L$53</f>
        <v>17650.378776488968</v>
      </c>
      <c r="P45" s="714">
        <f>'B.1 - Dev Pro Forma'!P118*($L$49*(1+$L$50)^(P$42-$L$48))*$L$54*$L$53</f>
        <v>18091.638245901187</v>
      </c>
      <c r="Q45" s="714">
        <f>'B.1 - Dev Pro Forma'!Q118*($L$49*(1+$L$50)^(Q$42-$L$48))*$L$54*$L$53</f>
        <v>18543.929202048716</v>
      </c>
      <c r="R45" s="714">
        <f>'B.1 - Dev Pro Forma'!R118*($L$49*(1+$L$50)^(R$42-$L$48))*$L$54*$L$53</f>
        <v>19007.527432099938</v>
      </c>
      <c r="S45" s="714">
        <f>'B.1 - Dev Pro Forma'!S118*($L$49*(1+$L$50)^(S$42-$L$48))*$L$54*$L$53</f>
        <v>19482.715617902435</v>
      </c>
      <c r="T45" s="714">
        <f>'B.1 - Dev Pro Forma'!T118*($L$49*(1+$L$50)^(T$42-$L$48))*$L$54*$L$53</f>
        <v>19969.783508349992</v>
      </c>
      <c r="U45" s="714">
        <f>'B.1 - Dev Pro Forma'!U118*($L$49*(1+$L$50)^(U$42-$L$48))*$L$54*$L$53</f>
        <v>20469.028096058744</v>
      </c>
      <c r="V45" s="714">
        <f>'B.1 - Dev Pro Forma'!V118*($L$49*(1+$L$50)^(V$42-$L$48))*$L$54*$L$53</f>
        <v>20980.75379846021</v>
      </c>
      <c r="W45" s="714">
        <f>'B.1 - Dev Pro Forma'!W118*($L$49*(1+$L$50)^(W$42-$L$48))*$L$54*$L$53</f>
        <v>21505.272643421711</v>
      </c>
      <c r="X45" s="714">
        <f>'B.1 - Dev Pro Forma'!X118*($L$49*(1+$L$50)^(X$42-$L$48))*$L$54*$L$53</f>
        <v>22042.904459507256</v>
      </c>
      <c r="Y45" s="715">
        <f t="shared" si="24"/>
        <v>337442.17639850569</v>
      </c>
      <c r="Z45" s="820">
        <f t="shared" si="25"/>
        <v>220929.24613365615</v>
      </c>
    </row>
    <row r="46" spans="2:29" ht="12.75" customHeight="1" thickBot="1" x14ac:dyDescent="0.2">
      <c r="B46" s="565"/>
      <c r="C46" s="559" t="s">
        <v>13</v>
      </c>
      <c r="D46" s="561"/>
      <c r="E46" s="716">
        <f>SUM(E43:E45)</f>
        <v>6551.1905742334702</v>
      </c>
      <c r="F46" s="716">
        <f t="shared" ref="F46:X46" si="26">SUM(F43:F45)</f>
        <v>13757.75637172871</v>
      </c>
      <c r="G46" s="716">
        <f t="shared" si="26"/>
        <v>15569.707809319421</v>
      </c>
      <c r="H46" s="716">
        <f t="shared" si="26"/>
        <v>18514.692520965091</v>
      </c>
      <c r="I46" s="716">
        <f t="shared" si="26"/>
        <v>21336.627448580584</v>
      </c>
      <c r="J46" s="716">
        <f t="shared" si="26"/>
        <v>24522.855767170269</v>
      </c>
      <c r="K46" s="716">
        <f t="shared" si="26"/>
        <v>27131.869102564546</v>
      </c>
      <c r="L46" s="716">
        <f t="shared" si="26"/>
        <v>29907.136319482808</v>
      </c>
      <c r="M46" s="716">
        <f t="shared" si="26"/>
        <v>32913.93099801676</v>
      </c>
      <c r="N46" s="716">
        <f t="shared" si="26"/>
        <v>36284.062813301513</v>
      </c>
      <c r="O46" s="716">
        <f t="shared" si="26"/>
        <v>40640.791904189638</v>
      </c>
      <c r="P46" s="716">
        <f t="shared" si="26"/>
        <v>44419.857837143041</v>
      </c>
      <c r="Q46" s="716">
        <f t="shared" si="26"/>
        <v>48422.449515025553</v>
      </c>
      <c r="R46" s="716">
        <f t="shared" si="26"/>
        <v>49633.010752901202</v>
      </c>
      <c r="S46" s="716">
        <f t="shared" si="26"/>
        <v>50873.836021723735</v>
      </c>
      <c r="T46" s="716">
        <f t="shared" si="26"/>
        <v>52145.681922266813</v>
      </c>
      <c r="U46" s="716">
        <f t="shared" si="26"/>
        <v>53449.323970323487</v>
      </c>
      <c r="V46" s="716">
        <f t="shared" si="26"/>
        <v>54785.557069581577</v>
      </c>
      <c r="W46" s="716">
        <f t="shared" si="26"/>
        <v>56155.195996321105</v>
      </c>
      <c r="X46" s="716">
        <f t="shared" si="26"/>
        <v>57559.075896229129</v>
      </c>
      <c r="Y46" s="717">
        <f>SUM(E46:X46)</f>
        <v>734574.61061106855</v>
      </c>
      <c r="Z46" s="900">
        <f>NPV($L$19,F46:X46)</f>
        <v>462587.90573066764</v>
      </c>
    </row>
    <row r="47" spans="2:29" x14ac:dyDescent="0.15">
      <c r="E47" s="237"/>
    </row>
    <row r="48" spans="2:29" ht="15" thickBot="1" x14ac:dyDescent="0.2">
      <c r="C48" s="241"/>
      <c r="D48" s="241"/>
      <c r="E48" s="241"/>
      <c r="F48" s="6"/>
      <c r="G48" s="1317" t="s">
        <v>63</v>
      </c>
      <c r="H48" s="1318"/>
      <c r="I48" s="1318"/>
      <c r="J48" s="253"/>
      <c r="K48" s="253"/>
      <c r="L48" s="242">
        <v>2018</v>
      </c>
    </row>
    <row r="49" spans="2:27" ht="19" thickBot="1" x14ac:dyDescent="0.25">
      <c r="C49" s="243" t="s">
        <v>1470</v>
      </c>
      <c r="D49" s="1321">
        <f>Y46</f>
        <v>734574.61061106855</v>
      </c>
      <c r="E49" s="1322"/>
      <c r="F49" s="17"/>
      <c r="G49" s="315" t="str">
        <f>G31</f>
        <v xml:space="preserve">Cost per $ Assessed (2018) </v>
      </c>
      <c r="H49" s="316"/>
      <c r="I49" s="317"/>
      <c r="J49" s="317"/>
      <c r="K49" s="317"/>
      <c r="L49" s="318">
        <f>K52/K51</f>
        <v>1.1538642947863972E-3</v>
      </c>
      <c r="Y49" s="17"/>
      <c r="Z49" s="17"/>
      <c r="AA49" s="17"/>
    </row>
    <row r="50" spans="2:27" x14ac:dyDescent="0.15">
      <c r="F50" s="17"/>
      <c r="G50" s="335" t="s">
        <v>74</v>
      </c>
      <c r="H50" s="254"/>
      <c r="I50" s="254"/>
      <c r="J50" s="254"/>
      <c r="K50" s="339"/>
      <c r="L50" s="336">
        <f>L32</f>
        <v>2.5000000000000001E-2</v>
      </c>
      <c r="Y50" s="17"/>
      <c r="Z50" s="17"/>
      <c r="AA50" s="17"/>
    </row>
    <row r="51" spans="2:27" x14ac:dyDescent="0.15">
      <c r="G51" s="335" t="str">
        <f>G15</f>
        <v>Assessed Value (2018) 1</v>
      </c>
      <c r="H51" s="254"/>
      <c r="I51" s="254"/>
      <c r="J51" s="254"/>
      <c r="K51" s="1323">
        <f>K33</f>
        <v>5102419779</v>
      </c>
      <c r="L51" s="1324"/>
      <c r="P51" s="319"/>
      <c r="Y51" s="17"/>
      <c r="Z51" s="17"/>
      <c r="AA51" s="17"/>
    </row>
    <row r="52" spans="2:27" ht="16" x14ac:dyDescent="0.15">
      <c r="G52" s="335" t="s">
        <v>1465</v>
      </c>
      <c r="H52" s="254"/>
      <c r="I52" s="254"/>
      <c r="J52" s="254"/>
      <c r="K52" s="1323">
        <v>5887500</v>
      </c>
      <c r="L52" s="1324"/>
      <c r="P52" s="563"/>
    </row>
    <row r="53" spans="2:27" x14ac:dyDescent="0.15">
      <c r="F53" s="245"/>
      <c r="G53" s="335" t="str">
        <f>G35</f>
        <v>Variable to Fixed Cost Ratio</v>
      </c>
      <c r="H53" s="254"/>
      <c r="I53" s="254"/>
      <c r="J53" s="254"/>
      <c r="K53" s="338"/>
      <c r="L53" s="337">
        <v>0.25</v>
      </c>
    </row>
    <row r="54" spans="2:27" x14ac:dyDescent="0.15">
      <c r="G54" s="291" t="s">
        <v>1223</v>
      </c>
      <c r="H54" s="254"/>
      <c r="I54" s="254"/>
      <c r="J54" s="254"/>
      <c r="K54" s="339"/>
      <c r="L54" s="337">
        <v>0.65</v>
      </c>
    </row>
    <row r="55" spans="2:27" x14ac:dyDescent="0.15">
      <c r="G55" s="322" t="s">
        <v>14</v>
      </c>
      <c r="H55" s="323"/>
      <c r="I55" s="324"/>
      <c r="J55" s="324"/>
      <c r="K55" s="324"/>
      <c r="L55" s="325">
        <v>0.04</v>
      </c>
    </row>
    <row r="56" spans="2:27" x14ac:dyDescent="0.15">
      <c r="B56" s="449"/>
      <c r="C56" s="449"/>
      <c r="D56" s="246"/>
      <c r="E56" s="246"/>
      <c r="F56" s="449"/>
      <c r="G56" s="449"/>
      <c r="H56" s="449"/>
      <c r="I56" s="324"/>
      <c r="J56" s="324"/>
      <c r="K56" s="324"/>
      <c r="L56" s="324"/>
      <c r="M56" s="324"/>
      <c r="N56" s="324"/>
      <c r="O56" s="449"/>
    </row>
    <row r="57" spans="2:27" x14ac:dyDescent="0.15">
      <c r="B57" s="247" t="str">
        <f>B39</f>
        <v>Note 1: Source, Utah State Tax Commission , 2017 List of Final Values, Total Real Property, Personal Property, Centrally Assessed w/out Motor Vehicle (http://propertytax.utah.gov/reports-and-statistics/entity-year-end-value-reports.html)</v>
      </c>
      <c r="C57" s="241"/>
      <c r="D57" s="6"/>
      <c r="E57" s="6"/>
      <c r="F57" s="241"/>
      <c r="G57" s="241"/>
      <c r="H57" s="241"/>
      <c r="I57" s="241"/>
      <c r="J57" s="241"/>
      <c r="K57" s="241"/>
    </row>
    <row r="58" spans="2:27" x14ac:dyDescent="0.15">
      <c r="B58" s="248" t="str">
        <f>B40</f>
        <v>Note 2: Source, Utah State Auditors Office - Millcreek Budget</v>
      </c>
      <c r="C58" s="241"/>
      <c r="D58" s="6"/>
      <c r="E58" s="6"/>
      <c r="F58" s="241"/>
      <c r="G58" s="241"/>
      <c r="H58" s="241"/>
      <c r="I58" s="241"/>
      <c r="J58" s="241"/>
      <c r="K58" s="241"/>
    </row>
  </sheetData>
  <mergeCells count="10">
    <mergeCell ref="D31:E31"/>
    <mergeCell ref="G12:I12"/>
    <mergeCell ref="D13:E13"/>
    <mergeCell ref="G30:I30"/>
    <mergeCell ref="K52:L52"/>
    <mergeCell ref="K33:L33"/>
    <mergeCell ref="K34:L34"/>
    <mergeCell ref="K51:L51"/>
    <mergeCell ref="G48:I48"/>
    <mergeCell ref="D49:E49"/>
  </mergeCells>
  <conditionalFormatting sqref="E7:Z10 E25:Z28 E43:Z46">
    <cfRule type="cellIs" dxfId="3" priority="4" operator="greaterThan">
      <formula>0</formula>
    </cfRule>
  </conditionalFormatting>
  <printOptions horizontalCentered="1"/>
  <pageMargins left="0.2" right="0.2" top="0.54" bottom="0.76" header="0.28000000000000003" footer="0.25"/>
  <pageSetup paperSize="3" scale="78" orientation="landscape" horizontalDpi="4294967293" r:id="rId1"/>
  <headerFooter alignWithMargins="0">
    <oddFooter xml:space="preserve">&amp;L&amp;"Franklin Gothic Book,Regular"&amp;9&amp;A; &amp;"Arial,Regular"&amp;10
&amp;F&amp;R&amp;"Franklin Gothic Book,Regular"&amp;9Prepared By: Lewis Young Robertson &amp; Burningham, Inc.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23</vt:i4>
      </vt:variant>
    </vt:vector>
  </HeadingPairs>
  <TitlesOfParts>
    <vt:vector size="23" baseType="lpstr">
      <vt:lpstr>A.1 - Summary </vt:lpstr>
      <vt:lpstr>B.1 - Dev Pro Forma</vt:lpstr>
      <vt:lpstr>Tax Increment Budget</vt:lpstr>
      <vt:lpstr>Base Year</vt:lpstr>
      <vt:lpstr>Tax Increment Graph</vt:lpstr>
      <vt:lpstr>D.1 - Sales Tax Revenues</vt:lpstr>
      <vt:lpstr>E.1 - Franchise Tax Revenues</vt:lpstr>
      <vt:lpstr>Infrastructure Costs</vt:lpstr>
      <vt:lpstr>F.1 - City Expenditures</vt:lpstr>
      <vt:lpstr>G.1 - City - Cost - Benefit</vt:lpstr>
      <vt:lpstr>H.1 - General Gov Expenditure</vt:lpstr>
      <vt:lpstr>Capital Expenditures</vt:lpstr>
      <vt:lpstr>Electricity</vt:lpstr>
      <vt:lpstr>NGComm</vt:lpstr>
      <vt:lpstr>NGRes</vt:lpstr>
      <vt:lpstr>NGRes2</vt:lpstr>
      <vt:lpstr>NGTax</vt:lpstr>
      <vt:lpstr>Telecom Data</vt:lpstr>
      <vt:lpstr>TaxRates</vt:lpstr>
      <vt:lpstr>Inflation</vt:lpstr>
      <vt:lpstr>D.2 - Indirect Sales</vt:lpstr>
      <vt:lpstr>Absorption Comps</vt:lpstr>
      <vt:lpstr>Parcel Info</vt:lpstr>
    </vt:vector>
  </TitlesOfParts>
  <Company>Lewis Young Robertson &amp; Burningham,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Burningham</dc:creator>
  <cp:lastModifiedBy>Microsoft Office User</cp:lastModifiedBy>
  <cp:lastPrinted>2019-01-05T00:40:56Z</cp:lastPrinted>
  <dcterms:created xsi:type="dcterms:W3CDTF">2007-04-26T13:15:27Z</dcterms:created>
  <dcterms:modified xsi:type="dcterms:W3CDTF">2019-01-07T04:46:32Z</dcterms:modified>
</cp:coreProperties>
</file>